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partamento de Licitações - LICITACAO\LICITAÇÃO\5. LICITAÇÕES 2025\2. PREGÃO\xx. CT serventes Saúde LOTE AMPLA\"/>
    </mc:Choice>
  </mc:AlternateContent>
  <xr:revisionPtr revIDLastSave="0" documentId="13_ncr:1_{1CB73DBE-5E29-46DE-877F-E70C600B6118}" xr6:coauthVersionLast="47" xr6:coauthVersionMax="47" xr10:uidLastSave="{00000000-0000-0000-0000-000000000000}"/>
  <bookViews>
    <workbookView xWindow="22932" yWindow="-1248" windowWidth="23256" windowHeight="12576" tabRatio="904" xr2:uid="{00000000-000D-0000-FFFF-FFFF00000000}"/>
  </bookViews>
  <sheets>
    <sheet name="MAPA COMPARATIVO" sheetId="20" r:id="rId1"/>
    <sheet name="ITEM 01 - SERVENTE COPEIRA 40H" sheetId="14" r:id="rId2"/>
    <sheet name="ITEM 02 - SERVENTE COPEIRA 20H" sheetId="15" r:id="rId3"/>
    <sheet name="ITEM 03 - SERVENTE 40H" sheetId="16" r:id="rId4"/>
    <sheet name="ITEM 04 - SERVENTE 20H" sheetId="17" r:id="rId5"/>
    <sheet name="5-SERVENTE COPEIRA 12X36 DIA" sheetId="18" r:id="rId6"/>
    <sheet name="6-SERVENTE COPEIRA 12X36 NOITE" sheetId="19" r:id="rId7"/>
    <sheet name="EMBASAMENTO" sheetId="21" r:id="rId8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4" l="1"/>
  <c r="C32" i="14"/>
  <c r="C26" i="15"/>
  <c r="C65" i="14"/>
  <c r="D11" i="14"/>
  <c r="C11" i="14"/>
  <c r="D10" i="14"/>
  <c r="C10" i="14"/>
  <c r="E5" i="14"/>
  <c r="D5" i="14"/>
  <c r="B7" i="19"/>
  <c r="B7" i="18"/>
  <c r="B7" i="17"/>
  <c r="B7" i="16"/>
  <c r="B7" i="15"/>
  <c r="B7" i="14"/>
  <c r="F9" i="20"/>
  <c r="F8" i="20"/>
  <c r="F7" i="20"/>
  <c r="F6" i="20"/>
  <c r="F5" i="20"/>
  <c r="F4" i="20"/>
  <c r="B89" i="19" l="1"/>
  <c r="B72" i="19"/>
  <c r="C97" i="19" s="1"/>
  <c r="C71" i="19"/>
  <c r="C72" i="19" s="1"/>
  <c r="E97" i="19" s="1"/>
  <c r="C66" i="19"/>
  <c r="E66" i="19" s="1"/>
  <c r="F65" i="19"/>
  <c r="C65" i="19"/>
  <c r="E65" i="19" s="1"/>
  <c r="C64" i="19"/>
  <c r="E64" i="19" s="1"/>
  <c r="C63" i="19"/>
  <c r="E63" i="19" s="1"/>
  <c r="F62" i="19"/>
  <c r="C62" i="19"/>
  <c r="E62" i="19" s="1"/>
  <c r="C61" i="19"/>
  <c r="E61" i="19" s="1"/>
  <c r="C60" i="19"/>
  <c r="E60" i="19" s="1"/>
  <c r="C59" i="19"/>
  <c r="E59" i="19" s="1"/>
  <c r="B53" i="19"/>
  <c r="B33" i="19"/>
  <c r="C33" i="19" s="1"/>
  <c r="D33" i="19" s="1"/>
  <c r="D32" i="19"/>
  <c r="D31" i="19"/>
  <c r="D30" i="19"/>
  <c r="B29" i="19"/>
  <c r="C29" i="19" s="1"/>
  <c r="D29" i="19" s="1"/>
  <c r="B25" i="19"/>
  <c r="B43" i="19" s="1"/>
  <c r="B14" i="19"/>
  <c r="B6" i="19"/>
  <c r="B5" i="19"/>
  <c r="B28" i="19" s="1"/>
  <c r="F59" i="19" l="1"/>
  <c r="B8" i="19"/>
  <c r="D5" i="19" s="1"/>
  <c r="C43" i="19" s="1"/>
  <c r="F60" i="19"/>
  <c r="F63" i="19"/>
  <c r="F66" i="19"/>
  <c r="F61" i="19"/>
  <c r="F64" i="19"/>
  <c r="B45" i="19"/>
  <c r="C28" i="19"/>
  <c r="B34" i="19"/>
  <c r="C67" i="19"/>
  <c r="B9" i="19"/>
  <c r="C19" i="19" l="1"/>
  <c r="C50" i="19"/>
  <c r="C40" i="19"/>
  <c r="C24" i="19"/>
  <c r="C21" i="19"/>
  <c r="C18" i="19"/>
  <c r="C52" i="19"/>
  <c r="C39" i="19"/>
  <c r="C23" i="19"/>
  <c r="C17" i="19"/>
  <c r="C13" i="19"/>
  <c r="C49" i="19"/>
  <c r="C42" i="19"/>
  <c r="C20" i="19"/>
  <c r="E5" i="19"/>
  <c r="C44" i="19"/>
  <c r="C12" i="19"/>
  <c r="C14" i="19" s="1"/>
  <c r="D14" i="19" s="1"/>
  <c r="C51" i="19"/>
  <c r="C48" i="19"/>
  <c r="C41" i="19"/>
  <c r="C22" i="19"/>
  <c r="F67" i="19"/>
  <c r="E95" i="19" s="1"/>
  <c r="C95" i="19"/>
  <c r="D28" i="19"/>
  <c r="C34" i="19"/>
  <c r="D34" i="19" s="1"/>
  <c r="C53" i="19" l="1"/>
  <c r="D53" i="19" s="1"/>
  <c r="C25" i="19"/>
  <c r="D13" i="19"/>
  <c r="D44" i="19"/>
  <c r="D24" i="19"/>
  <c r="D52" i="19"/>
  <c r="D49" i="19"/>
  <c r="D42" i="19"/>
  <c r="D39" i="19"/>
  <c r="D23" i="19"/>
  <c r="D20" i="19"/>
  <c r="D17" i="19"/>
  <c r="D12" i="19"/>
  <c r="D21" i="19"/>
  <c r="D51" i="19"/>
  <c r="D48" i="19"/>
  <c r="D41" i="19"/>
  <c r="D22" i="19"/>
  <c r="D19" i="19"/>
  <c r="D50" i="19"/>
  <c r="D40" i="19"/>
  <c r="D18" i="19"/>
  <c r="D43" i="19"/>
  <c r="C45" i="19"/>
  <c r="D45" i="19" l="1"/>
  <c r="D54" i="19" s="1"/>
  <c r="E94" i="19" s="1"/>
  <c r="C54" i="19"/>
  <c r="C94" i="19" s="1"/>
  <c r="D25" i="19"/>
  <c r="D35" i="19" s="1"/>
  <c r="E93" i="19" s="1"/>
  <c r="C35" i="19"/>
  <c r="C76" i="19" l="1"/>
  <c r="C93" i="19"/>
  <c r="C78" i="19" l="1"/>
  <c r="C79" i="19" s="1"/>
  <c r="C81" i="19" s="1"/>
  <c r="E76" i="19"/>
  <c r="C83" i="19" l="1"/>
  <c r="E81" i="19"/>
  <c r="E78" i="19"/>
  <c r="E79" i="19" s="1"/>
  <c r="C86" i="19" l="1"/>
  <c r="C88" i="19"/>
  <c r="E88" i="19" s="1"/>
  <c r="C87" i="19"/>
  <c r="E87" i="19" s="1"/>
  <c r="E83" i="19"/>
  <c r="C89" i="19" l="1"/>
  <c r="C90" i="19" s="1"/>
  <c r="E86" i="19"/>
  <c r="E89" i="19" s="1"/>
  <c r="C96" i="19" l="1"/>
  <c r="C98" i="19" s="1"/>
  <c r="E90" i="19"/>
  <c r="E96" i="19" s="1"/>
  <c r="E98" i="19" s="1"/>
  <c r="E102" i="19" l="1"/>
  <c r="E103" i="19" s="1"/>
  <c r="G9" i="20"/>
  <c r="H9" i="20" s="1"/>
  <c r="I9" i="20" s="1"/>
  <c r="B87" i="18"/>
  <c r="C64" i="18"/>
  <c r="F64" i="18" s="1"/>
  <c r="C63" i="18"/>
  <c r="F63" i="18" s="1"/>
  <c r="E62" i="18"/>
  <c r="C62" i="18"/>
  <c r="F62" i="18" s="1"/>
  <c r="C61" i="18"/>
  <c r="F61" i="18" s="1"/>
  <c r="C60" i="18"/>
  <c r="F60" i="18" s="1"/>
  <c r="C59" i="18"/>
  <c r="F59" i="18" s="1"/>
  <c r="E58" i="18"/>
  <c r="C58" i="18"/>
  <c r="F58" i="18" s="1"/>
  <c r="C57" i="18"/>
  <c r="F57" i="18" s="1"/>
  <c r="B51" i="18"/>
  <c r="B41" i="18"/>
  <c r="B43" i="18" s="1"/>
  <c r="C31" i="18"/>
  <c r="D31" i="18" s="1"/>
  <c r="B31" i="18"/>
  <c r="D30" i="18"/>
  <c r="D29" i="18"/>
  <c r="D28" i="18"/>
  <c r="B27" i="18"/>
  <c r="C27" i="18" s="1"/>
  <c r="D27" i="18" s="1"/>
  <c r="B23" i="18"/>
  <c r="B12" i="18"/>
  <c r="B6" i="18"/>
  <c r="D5" i="18"/>
  <c r="C49" i="18" s="1"/>
  <c r="B5" i="18"/>
  <c r="B69" i="18" s="1"/>
  <c r="B26" i="18" l="1"/>
  <c r="C26" i="18" s="1"/>
  <c r="C32" i="18" s="1"/>
  <c r="D32" i="18" s="1"/>
  <c r="E60" i="18"/>
  <c r="E64" i="18"/>
  <c r="C69" i="18"/>
  <c r="C70" i="18" s="1"/>
  <c r="E95" i="18" s="1"/>
  <c r="B70" i="18"/>
  <c r="C95" i="18" s="1"/>
  <c r="D26" i="18"/>
  <c r="C11" i="18"/>
  <c r="C10" i="18"/>
  <c r="C42" i="18"/>
  <c r="C15" i="18"/>
  <c r="C18" i="18"/>
  <c r="C21" i="18"/>
  <c r="C37" i="18"/>
  <c r="C40" i="18"/>
  <c r="C47" i="18"/>
  <c r="C50" i="18"/>
  <c r="C16" i="18"/>
  <c r="E57" i="18"/>
  <c r="E59" i="18"/>
  <c r="E61" i="18"/>
  <c r="E63" i="18"/>
  <c r="C41" i="18"/>
  <c r="E5" i="18"/>
  <c r="C19" i="18"/>
  <c r="C22" i="18"/>
  <c r="C38" i="18"/>
  <c r="C48" i="18"/>
  <c r="C17" i="18"/>
  <c r="C20" i="18"/>
  <c r="C39" i="18"/>
  <c r="C46" i="18"/>
  <c r="C65" i="18" l="1"/>
  <c r="B32" i="18"/>
  <c r="C43" i="18"/>
  <c r="C93" i="18"/>
  <c r="F65" i="18"/>
  <c r="E93" i="18" s="1"/>
  <c r="D11" i="18"/>
  <c r="D48" i="18"/>
  <c r="D38" i="18"/>
  <c r="D22" i="18"/>
  <c r="D19" i="18"/>
  <c r="D16" i="18"/>
  <c r="D50" i="18"/>
  <c r="D47" i="18"/>
  <c r="D37" i="18"/>
  <c r="D42" i="18"/>
  <c r="D10" i="18"/>
  <c r="D49" i="18"/>
  <c r="D46" i="18"/>
  <c r="D39" i="18"/>
  <c r="D20" i="18"/>
  <c r="D17" i="18"/>
  <c r="D40" i="18"/>
  <c r="D21" i="18"/>
  <c r="D18" i="18"/>
  <c r="D15" i="18"/>
  <c r="D41" i="18"/>
  <c r="C23" i="18"/>
  <c r="D23" i="18" s="1"/>
  <c r="C51" i="18"/>
  <c r="D51" i="18" s="1"/>
  <c r="C12" i="18"/>
  <c r="D12" i="18" l="1"/>
  <c r="D33" i="18" s="1"/>
  <c r="E91" i="18" s="1"/>
  <c r="C33" i="18"/>
  <c r="D43" i="18"/>
  <c r="D52" i="18" s="1"/>
  <c r="E92" i="18" s="1"/>
  <c r="C52" i="18"/>
  <c r="C92" i="18" s="1"/>
  <c r="C91" i="18" l="1"/>
  <c r="C74" i="18"/>
  <c r="E74" i="18" l="1"/>
  <c r="C76" i="18"/>
  <c r="C77" i="18"/>
  <c r="C79" i="18" s="1"/>
  <c r="C81" i="18" l="1"/>
  <c r="E79" i="18"/>
  <c r="E76" i="18"/>
  <c r="E77" i="18" s="1"/>
  <c r="E81" i="18" l="1"/>
  <c r="C86" i="18"/>
  <c r="E86" i="18" s="1"/>
  <c r="C85" i="18"/>
  <c r="E85" i="18" s="1"/>
  <c r="C84" i="18"/>
  <c r="C87" i="18" l="1"/>
  <c r="C88" i="18" s="1"/>
  <c r="E84" i="18"/>
  <c r="E87" i="18" s="1"/>
  <c r="C94" i="18" l="1"/>
  <c r="C96" i="18" s="1"/>
  <c r="E88" i="18"/>
  <c r="E94" i="18" s="1"/>
  <c r="E96" i="18" s="1"/>
  <c r="E100" i="18" l="1"/>
  <c r="E101" i="18" s="1"/>
  <c r="G8" i="20"/>
  <c r="H8" i="20" s="1"/>
  <c r="I8" i="20" s="1"/>
  <c r="B82" i="17"/>
  <c r="C64" i="17"/>
  <c r="F64" i="17" s="1"/>
  <c r="C63" i="17"/>
  <c r="F63" i="17" s="1"/>
  <c r="C62" i="17"/>
  <c r="F62" i="17" s="1"/>
  <c r="C61" i="17"/>
  <c r="F61" i="17" s="1"/>
  <c r="C60" i="17"/>
  <c r="F60" i="17" s="1"/>
  <c r="C59" i="17"/>
  <c r="F59" i="17" s="1"/>
  <c r="C58" i="17"/>
  <c r="F58" i="17" s="1"/>
  <c r="C57" i="17"/>
  <c r="F57" i="17" s="1"/>
  <c r="B51" i="17"/>
  <c r="B31" i="17"/>
  <c r="C31" i="17" s="1"/>
  <c r="D31" i="17" s="1"/>
  <c r="D30" i="17"/>
  <c r="D29" i="17"/>
  <c r="D28" i="17"/>
  <c r="B27" i="17"/>
  <c r="C27" i="17" s="1"/>
  <c r="D27" i="17" s="1"/>
  <c r="B23" i="17"/>
  <c r="B41" i="17" s="1"/>
  <c r="B12" i="17"/>
  <c r="B5" i="17"/>
  <c r="D5" i="17" s="1"/>
  <c r="C41" i="17" l="1"/>
  <c r="B43" i="17"/>
  <c r="E5" i="17"/>
  <c r="C11" i="17"/>
  <c r="C20" i="17"/>
  <c r="C17" i="17"/>
  <c r="C48" i="17"/>
  <c r="C38" i="17"/>
  <c r="C22" i="17"/>
  <c r="C19" i="17"/>
  <c r="C16" i="17"/>
  <c r="C50" i="17"/>
  <c r="C47" i="17"/>
  <c r="C40" i="17"/>
  <c r="C37" i="17"/>
  <c r="C21" i="17"/>
  <c r="C18" i="17"/>
  <c r="C15" i="17"/>
  <c r="C42" i="17"/>
  <c r="C10" i="17"/>
  <c r="C49" i="17"/>
  <c r="C46" i="17"/>
  <c r="C39" i="17"/>
  <c r="E58" i="17"/>
  <c r="E60" i="17"/>
  <c r="E62" i="17"/>
  <c r="E64" i="17"/>
  <c r="B26" i="17"/>
  <c r="E57" i="17"/>
  <c r="E59" i="17"/>
  <c r="E61" i="17"/>
  <c r="E63" i="17"/>
  <c r="C51" i="17" l="1"/>
  <c r="D51" i="17" s="1"/>
  <c r="C26" i="17"/>
  <c r="B32" i="17"/>
  <c r="C43" i="17"/>
  <c r="D48" i="17"/>
  <c r="D38" i="17"/>
  <c r="D22" i="17"/>
  <c r="D19" i="17"/>
  <c r="D16" i="17"/>
  <c r="D50" i="17"/>
  <c r="D37" i="17"/>
  <c r="D21" i="17"/>
  <c r="D15" i="17"/>
  <c r="D11" i="17"/>
  <c r="D47" i="17"/>
  <c r="D40" i="17"/>
  <c r="D18" i="17"/>
  <c r="D42" i="17"/>
  <c r="D10" i="17"/>
  <c r="D49" i="17"/>
  <c r="D46" i="17"/>
  <c r="D39" i="17"/>
  <c r="D20" i="17"/>
  <c r="D17" i="17"/>
  <c r="C12" i="17"/>
  <c r="D41" i="17"/>
  <c r="C65" i="17"/>
  <c r="C23" i="17"/>
  <c r="D23" i="17" s="1"/>
  <c r="D43" i="17" l="1"/>
  <c r="D52" i="17" s="1"/>
  <c r="E87" i="17" s="1"/>
  <c r="C52" i="17"/>
  <c r="C87" i="17" s="1"/>
  <c r="F65" i="17"/>
  <c r="E88" i="17" s="1"/>
  <c r="C88" i="17"/>
  <c r="D12" i="17"/>
  <c r="D26" i="17"/>
  <c r="C32" i="17"/>
  <c r="D32" i="17" s="1"/>
  <c r="C33" i="17" l="1"/>
  <c r="C69" i="17" s="1"/>
  <c r="D33" i="17"/>
  <c r="E86" i="17" s="1"/>
  <c r="C86" i="17" l="1"/>
  <c r="C71" i="17"/>
  <c r="E69" i="17"/>
  <c r="E71" i="17" l="1"/>
  <c r="E72" i="17" s="1"/>
  <c r="C72" i="17"/>
  <c r="C74" i="17" s="1"/>
  <c r="C76" i="17" l="1"/>
  <c r="E74" i="17"/>
  <c r="E76" i="17" s="1"/>
  <c r="C80" i="17" l="1"/>
  <c r="E80" i="17" s="1"/>
  <c r="C79" i="17"/>
  <c r="C81" i="17"/>
  <c r="E81" i="17" s="1"/>
  <c r="C82" i="17" l="1"/>
  <c r="C83" i="17" s="1"/>
  <c r="E79" i="17"/>
  <c r="E82" i="17" s="1"/>
  <c r="C89" i="17" l="1"/>
  <c r="C90" i="17" s="1"/>
  <c r="E83" i="17"/>
  <c r="E89" i="17" s="1"/>
  <c r="E90" i="17" s="1"/>
  <c r="E94" i="17" l="1"/>
  <c r="E95" i="17" s="1"/>
  <c r="G7" i="20"/>
  <c r="H7" i="20" s="1"/>
  <c r="I7" i="20" s="1"/>
  <c r="B82" i="16"/>
  <c r="C64" i="16"/>
  <c r="F64" i="16" s="1"/>
  <c r="C63" i="16"/>
  <c r="F63" i="16" s="1"/>
  <c r="C62" i="16"/>
  <c r="F62" i="16" s="1"/>
  <c r="C61" i="16"/>
  <c r="F61" i="16" s="1"/>
  <c r="C60" i="16"/>
  <c r="F60" i="16" s="1"/>
  <c r="C59" i="16"/>
  <c r="F59" i="16" s="1"/>
  <c r="C58" i="16"/>
  <c r="F58" i="16" s="1"/>
  <c r="C57" i="16"/>
  <c r="F57" i="16" s="1"/>
  <c r="B51" i="16"/>
  <c r="B31" i="16"/>
  <c r="C31" i="16" s="1"/>
  <c r="D31" i="16" s="1"/>
  <c r="D30" i="16"/>
  <c r="D29" i="16"/>
  <c r="D28" i="16"/>
  <c r="B27" i="16"/>
  <c r="C27" i="16" s="1"/>
  <c r="D27" i="16" s="1"/>
  <c r="B23" i="16"/>
  <c r="B41" i="16" s="1"/>
  <c r="B12" i="16"/>
  <c r="B5" i="16"/>
  <c r="D5" i="16" s="1"/>
  <c r="E5" i="16" l="1"/>
  <c r="D41" i="16" s="1"/>
  <c r="C46" i="16"/>
  <c r="C39" i="16"/>
  <c r="C17" i="16"/>
  <c r="C48" i="16"/>
  <c r="C38" i="16"/>
  <c r="C22" i="16"/>
  <c r="C19" i="16"/>
  <c r="C16" i="16"/>
  <c r="C11" i="16"/>
  <c r="C20" i="16"/>
  <c r="C50" i="16"/>
  <c r="C47" i="16"/>
  <c r="C40" i="16"/>
  <c r="C37" i="16"/>
  <c r="C21" i="16"/>
  <c r="C18" i="16"/>
  <c r="C15" i="16"/>
  <c r="C42" i="16"/>
  <c r="C10" i="16"/>
  <c r="C49" i="16"/>
  <c r="C41" i="16"/>
  <c r="B43" i="16"/>
  <c r="E58" i="16"/>
  <c r="E60" i="16"/>
  <c r="E62" i="16"/>
  <c r="E64" i="16"/>
  <c r="B26" i="16"/>
  <c r="E57" i="16"/>
  <c r="E59" i="16"/>
  <c r="E61" i="16"/>
  <c r="E63" i="16"/>
  <c r="C65" i="16" l="1"/>
  <c r="C23" i="16"/>
  <c r="D23" i="16" s="1"/>
  <c r="F65" i="16"/>
  <c r="E88" i="16" s="1"/>
  <c r="C88" i="16"/>
  <c r="C26" i="16"/>
  <c r="B32" i="16"/>
  <c r="C43" i="16"/>
  <c r="D20" i="16"/>
  <c r="D48" i="16"/>
  <c r="D38" i="16"/>
  <c r="D22" i="16"/>
  <c r="D19" i="16"/>
  <c r="D16" i="16"/>
  <c r="D18" i="16"/>
  <c r="D11" i="16"/>
  <c r="D50" i="16"/>
  <c r="D47" i="16"/>
  <c r="D40" i="16"/>
  <c r="D37" i="16"/>
  <c r="D21" i="16"/>
  <c r="D15" i="16"/>
  <c r="D42" i="16"/>
  <c r="D10" i="16"/>
  <c r="D49" i="16"/>
  <c r="D46" i="16"/>
  <c r="D39" i="16"/>
  <c r="D17" i="16"/>
  <c r="C12" i="16"/>
  <c r="C51" i="16"/>
  <c r="D51" i="16" s="1"/>
  <c r="D43" i="16" l="1"/>
  <c r="D52" i="16" s="1"/>
  <c r="E87" i="16" s="1"/>
  <c r="C52" i="16"/>
  <c r="C87" i="16" s="1"/>
  <c r="D12" i="16"/>
  <c r="D26" i="16"/>
  <c r="C32" i="16"/>
  <c r="D32" i="16" s="1"/>
  <c r="D33" i="16" l="1"/>
  <c r="E86" i="16" s="1"/>
  <c r="C33" i="16"/>
  <c r="C69" i="16" l="1"/>
  <c r="C86" i="16"/>
  <c r="C71" i="16" l="1"/>
  <c r="E69" i="16"/>
  <c r="E71" i="16" l="1"/>
  <c r="E72" i="16" s="1"/>
  <c r="C72" i="16"/>
  <c r="C74" i="16" s="1"/>
  <c r="C76" i="16" l="1"/>
  <c r="E74" i="16"/>
  <c r="E76" i="16" s="1"/>
  <c r="C80" i="16" l="1"/>
  <c r="E80" i="16" s="1"/>
  <c r="C79" i="16"/>
  <c r="C81" i="16"/>
  <c r="E81" i="16" s="1"/>
  <c r="C82" i="16" l="1"/>
  <c r="C83" i="16" s="1"/>
  <c r="E79" i="16"/>
  <c r="E82" i="16" s="1"/>
  <c r="C89" i="16" l="1"/>
  <c r="C90" i="16" s="1"/>
  <c r="E83" i="16"/>
  <c r="E89" i="16" s="1"/>
  <c r="E90" i="16" s="1"/>
  <c r="B82" i="15"/>
  <c r="F64" i="15"/>
  <c r="C64" i="15"/>
  <c r="E64" i="15" s="1"/>
  <c r="C63" i="15"/>
  <c r="F63" i="15" s="1"/>
  <c r="F62" i="15"/>
  <c r="C62" i="15"/>
  <c r="E62" i="15" s="1"/>
  <c r="C61" i="15"/>
  <c r="E61" i="15" s="1"/>
  <c r="F60" i="15"/>
  <c r="C60" i="15"/>
  <c r="E60" i="15" s="1"/>
  <c r="C59" i="15"/>
  <c r="F59" i="15" s="1"/>
  <c r="F58" i="15"/>
  <c r="C58" i="15"/>
  <c r="E58" i="15" s="1"/>
  <c r="C57" i="15"/>
  <c r="E57" i="15" s="1"/>
  <c r="B51" i="15"/>
  <c r="B31" i="15"/>
  <c r="C31" i="15" s="1"/>
  <c r="D31" i="15" s="1"/>
  <c r="D30" i="15"/>
  <c r="D29" i="15"/>
  <c r="D28" i="15"/>
  <c r="B27" i="15"/>
  <c r="C27" i="15" s="1"/>
  <c r="D27" i="15" s="1"/>
  <c r="B23" i="15"/>
  <c r="B41" i="15" s="1"/>
  <c r="B43" i="15" s="1"/>
  <c r="B12" i="15"/>
  <c r="B6" i="15"/>
  <c r="D5" i="15" s="1"/>
  <c r="C42" i="15" s="1"/>
  <c r="B5" i="15"/>
  <c r="B26" i="15" s="1"/>
  <c r="B32" i="15" s="1"/>
  <c r="E94" i="16" l="1"/>
  <c r="E95" i="16" s="1"/>
  <c r="G6" i="20"/>
  <c r="H6" i="20" s="1"/>
  <c r="I6" i="20" s="1"/>
  <c r="C15" i="15"/>
  <c r="C18" i="15"/>
  <c r="C21" i="15"/>
  <c r="C37" i="15"/>
  <c r="C40" i="15"/>
  <c r="C47" i="15"/>
  <c r="C50" i="15"/>
  <c r="C19" i="15"/>
  <c r="E59" i="15"/>
  <c r="E63" i="15"/>
  <c r="C41" i="15"/>
  <c r="F57" i="15"/>
  <c r="F61" i="15"/>
  <c r="E5" i="15"/>
  <c r="C48" i="15"/>
  <c r="C39" i="15"/>
  <c r="C46" i="15"/>
  <c r="C49" i="15"/>
  <c r="C11" i="15"/>
  <c r="C16" i="15"/>
  <c r="C22" i="15"/>
  <c r="C38" i="15"/>
  <c r="C17" i="15"/>
  <c r="C20" i="15"/>
  <c r="C10" i="15"/>
  <c r="C12" i="15" s="1"/>
  <c r="D12" i="15" s="1"/>
  <c r="C43" i="15" l="1"/>
  <c r="C65" i="15"/>
  <c r="C88" i="15"/>
  <c r="F65" i="15"/>
  <c r="E88" i="15" s="1"/>
  <c r="D43" i="15"/>
  <c r="D26" i="15"/>
  <c r="C32" i="15"/>
  <c r="D32" i="15" s="1"/>
  <c r="D49" i="15"/>
  <c r="D46" i="15"/>
  <c r="D39" i="15"/>
  <c r="D20" i="15"/>
  <c r="D17" i="15"/>
  <c r="D47" i="15"/>
  <c r="D18" i="15"/>
  <c r="D40" i="15"/>
  <c r="D48" i="15"/>
  <c r="D38" i="15"/>
  <c r="D22" i="15"/>
  <c r="D19" i="15"/>
  <c r="D16" i="15"/>
  <c r="D11" i="15"/>
  <c r="D21" i="15"/>
  <c r="D42" i="15"/>
  <c r="D10" i="15"/>
  <c r="D50" i="15"/>
  <c r="D37" i="15"/>
  <c r="D15" i="15"/>
  <c r="C51" i="15"/>
  <c r="D51" i="15" s="1"/>
  <c r="C23" i="15"/>
  <c r="D23" i="15" s="1"/>
  <c r="D41" i="15"/>
  <c r="D33" i="15" l="1"/>
  <c r="E86" i="15" s="1"/>
  <c r="C33" i="15"/>
  <c r="C52" i="15"/>
  <c r="C87" i="15" s="1"/>
  <c r="C69" i="15"/>
  <c r="C86" i="15"/>
  <c r="D52" i="15"/>
  <c r="E87" i="15" s="1"/>
  <c r="C71" i="15" l="1"/>
  <c r="E69" i="15"/>
  <c r="C72" i="15"/>
  <c r="C74" i="15" s="1"/>
  <c r="C76" i="15" l="1"/>
  <c r="E74" i="15"/>
  <c r="E71" i="15"/>
  <c r="E72" i="15" s="1"/>
  <c r="C81" i="15" l="1"/>
  <c r="E81" i="15" s="1"/>
  <c r="C80" i="15"/>
  <c r="E80" i="15" s="1"/>
  <c r="C79" i="15"/>
  <c r="E76" i="15"/>
  <c r="C82" i="15" l="1"/>
  <c r="C83" i="15" s="1"/>
  <c r="E79" i="15"/>
  <c r="E82" i="15" s="1"/>
  <c r="E83" i="15" l="1"/>
  <c r="E89" i="15" s="1"/>
  <c r="E90" i="15" s="1"/>
  <c r="C89" i="15"/>
  <c r="C90" i="15" s="1"/>
  <c r="E94" i="15" l="1"/>
  <c r="E95" i="15" s="1"/>
  <c r="G5" i="20"/>
  <c r="H5" i="20" s="1"/>
  <c r="I5" i="20" s="1"/>
  <c r="B6" i="14"/>
  <c r="B5" i="14" l="1"/>
  <c r="C17" i="14" l="1"/>
  <c r="C47" i="14"/>
  <c r="C22" i="14"/>
  <c r="C18" i="14"/>
  <c r="C19" i="14"/>
  <c r="C46" i="14"/>
  <c r="C50" i="14"/>
  <c r="C49" i="14"/>
  <c r="C20" i="14"/>
  <c r="C16" i="14"/>
  <c r="C38" i="14"/>
  <c r="C40" i="14"/>
  <c r="C21" i="14"/>
  <c r="C48" i="14"/>
  <c r="C15" i="14"/>
  <c r="C37" i="14"/>
  <c r="C39" i="14"/>
  <c r="C42" i="14"/>
  <c r="B26" i="14"/>
  <c r="C26" i="14" s="1"/>
  <c r="B31" i="14"/>
  <c r="C31" i="14" s="1"/>
  <c r="B27" i="14"/>
  <c r="C27" i="14" s="1"/>
  <c r="D20" i="14" l="1"/>
  <c r="D37" i="14"/>
  <c r="D47" i="14"/>
  <c r="D21" i="14"/>
  <c r="D38" i="14"/>
  <c r="D22" i="14"/>
  <c r="D17" i="14"/>
  <c r="D40" i="14"/>
  <c r="D50" i="14"/>
  <c r="D19" i="14"/>
  <c r="D42" i="14"/>
  <c r="D46" i="14"/>
  <c r="D15" i="14"/>
  <c r="D48" i="14"/>
  <c r="D16" i="14"/>
  <c r="D39" i="14"/>
  <c r="D49" i="14"/>
  <c r="D18" i="14"/>
  <c r="C62" i="14"/>
  <c r="E62" i="14" s="1"/>
  <c r="C57" i="14"/>
  <c r="E57" i="14" s="1"/>
  <c r="C63" i="14"/>
  <c r="E63" i="14" s="1"/>
  <c r="C58" i="14"/>
  <c r="E58" i="14" s="1"/>
  <c r="C64" i="14"/>
  <c r="E64" i="14" s="1"/>
  <c r="C59" i="14"/>
  <c r="F59" i="14" s="1"/>
  <c r="C60" i="14"/>
  <c r="E60" i="14" s="1"/>
  <c r="C61" i="14"/>
  <c r="E61" i="14" s="1"/>
  <c r="D31" i="14"/>
  <c r="B82" i="14"/>
  <c r="B51" i="14"/>
  <c r="D30" i="14"/>
  <c r="D29" i="14"/>
  <c r="D28" i="14"/>
  <c r="D27" i="14"/>
  <c r="B23" i="14"/>
  <c r="B41" i="14" s="1"/>
  <c r="C41" i="14" s="1"/>
  <c r="B12" i="14"/>
  <c r="D41" i="14" l="1"/>
  <c r="F57" i="14"/>
  <c r="F61" i="14"/>
  <c r="F60" i="14"/>
  <c r="F62" i="14"/>
  <c r="F63" i="14"/>
  <c r="F58" i="14"/>
  <c r="F64" i="14"/>
  <c r="B43" i="14"/>
  <c r="B32" i="14"/>
  <c r="E59" i="14"/>
  <c r="F65" i="14" l="1"/>
  <c r="E88" i="14" s="1"/>
  <c r="C12" i="14"/>
  <c r="C88" i="14" l="1"/>
  <c r="D26" i="14"/>
  <c r="C23" i="14"/>
  <c r="D23" i="14" s="1"/>
  <c r="D12" i="14"/>
  <c r="C43" i="14"/>
  <c r="D43" i="14" s="1"/>
  <c r="C51" i="14"/>
  <c r="D51" i="14" s="1"/>
  <c r="C33" i="14" l="1"/>
  <c r="C86" i="14"/>
  <c r="D33" i="14"/>
  <c r="E86" i="14" s="1"/>
  <c r="D52" i="14"/>
  <c r="E87" i="14" s="1"/>
  <c r="C52" i="14"/>
  <c r="C87" i="14" s="1"/>
  <c r="C69" i="14" l="1"/>
  <c r="C71" i="14" s="1"/>
  <c r="C72" i="14" s="1"/>
  <c r="C74" i="14" s="1"/>
  <c r="E69" i="14" l="1"/>
  <c r="C76" i="14"/>
  <c r="E74" i="14"/>
  <c r="E71" i="14"/>
  <c r="E72" i="14" l="1"/>
  <c r="C79" i="14"/>
  <c r="C81" i="14"/>
  <c r="E81" i="14" s="1"/>
  <c r="C80" i="14"/>
  <c r="E80" i="14" s="1"/>
  <c r="E76" i="14"/>
  <c r="C82" i="14" l="1"/>
  <c r="C83" i="14" s="1"/>
  <c r="E79" i="14"/>
  <c r="E82" i="14" s="1"/>
  <c r="C89" i="14" l="1"/>
  <c r="C90" i="14" s="1"/>
  <c r="E83" i="14"/>
  <c r="E89" i="14" s="1"/>
  <c r="E90" i="14" s="1"/>
  <c r="E97" i="14" l="1"/>
  <c r="E98" i="14" s="1"/>
  <c r="G4" i="20"/>
  <c r="H4" i="20" s="1"/>
  <c r="I4" i="20" l="1"/>
  <c r="H10" i="20"/>
  <c r="I10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7" authorId="0" shapeId="0" xr:uid="{BF875F7C-4B6D-4258-9B13-6A31BA669EFB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6" authorId="0" shapeId="0" xr:uid="{2AC13950-B868-4B95-B05A-92DC52B111E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7" authorId="0" shapeId="0" xr:uid="{5A107C2F-5576-4C7E-AE6F-E5B2FBD44B1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0" authorId="0" shapeId="0" xr:uid="{076791CC-1B95-4FDD-A90F-647A637B24BC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5" authorId="0" shapeId="0" xr:uid="{DC4F57C1-74CA-4B4B-9D50-E3FCB79DC794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7" authorId="0" shapeId="0" xr:uid="{EF2115D1-130E-4E8C-BA90-4C804F75B0CD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6" authorId="0" shapeId="0" xr:uid="{D86BE986-C631-47FC-8DBD-C9BF48BD7CE9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7" authorId="0" shapeId="0" xr:uid="{81C3B248-3910-48C6-A124-4410DBF13603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0" authorId="0" shapeId="0" xr:uid="{8DF0DD3C-1DB2-490C-A179-57B2E97190AA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5" authorId="0" shapeId="0" xr:uid="{3F8F0B92-CCB9-4724-9D33-4E50DC12BBBE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7" authorId="0" shapeId="0" xr:uid="{434B7695-0897-45CA-8427-2DA4CDE4320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6" authorId="0" shapeId="0" xr:uid="{8C0C1173-4A02-4644-BC6E-F254D094ADD7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7" authorId="0" shapeId="0" xr:uid="{BB6DFC21-B40D-4073-973C-009D9AFEE45E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0" authorId="0" shapeId="0" xr:uid="{09DBE1AE-04E8-4B10-9655-03A0AD0C120E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5" authorId="0" shapeId="0" xr:uid="{ED73936C-2E81-4964-BB87-2682851CBDD8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7" authorId="0" shapeId="0" xr:uid="{D0C7F873-97C2-403C-8405-F2FF33A561E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6" authorId="0" shapeId="0" xr:uid="{C2CB16F4-A266-45F6-A84E-38541B193F90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7" authorId="0" shapeId="0" xr:uid="{0C18D51E-9073-4021-B33A-0405A6C40AF1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0" authorId="0" shapeId="0" xr:uid="{50DAC0CD-7989-40AD-8333-0B85DB55F068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5" authorId="0" shapeId="0" xr:uid="{B7E109D1-4CC3-409C-A607-F06C871889E1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7" authorId="0" shapeId="0" xr:uid="{752F8525-0A01-45F7-B10D-DE94906B4E10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6" authorId="0" shapeId="0" xr:uid="{D6D98CE8-1600-49FF-B775-758E3D5E5C7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7" authorId="0" shapeId="0" xr:uid="{B47E851B-7B4E-4B5A-AEAA-C2728EE8D2D1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0" authorId="0" shapeId="0" xr:uid="{2E690A37-CFEA-42BF-863B-FCB4619042D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5" authorId="0" shapeId="0" xr:uid="{95533030-C761-45DB-89EE-1FF38235E2E5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  <comment ref="A67" authorId="0" shapeId="0" xr:uid="{1AEDFFD1-1D3E-4D40-8AC0-0D6621954495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((Salário-hora + 50% ) X adicional noturno%) x dias trabalhados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A8" authorId="0" shapeId="0" xr:uid="{66CB3ED9-8844-4293-804B-E4A9DB14F394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9 = horas noturnas. 22h às 7h da manhã, conforme Súmula nº 60 do TST.</t>
        </r>
      </text>
    </comment>
    <comment ref="B8" authorId="0" shapeId="0" xr:uid="{F50693CC-8F98-4282-83F4-8E7E57E65F11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[ HORA(S) NOTURNA(S) NORMAI(S) x (R$ SALÁRIO HORA x % ADICIONAL NOTURNO) ] x DIA(S) TRABALHADO(S)</t>
        </r>
      </text>
    </comment>
    <comment ref="A9" authorId="0" shapeId="0" xr:uid="{BCA5D11E-51B2-4778-820A-FC16722D1D74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Considera-se horário noturno reduzido também a jornada de trabalho do empregado que transcorre entre 22h da noite e 5h da manhã até o horário de sua saída, como sairá as 07h a quantidade para este cálculo será de09 horas.</t>
        </r>
      </text>
    </comment>
    <comment ref="B9" authorId="0" shapeId="0" xr:uid="{D0A11E87-F529-48C7-87AE-8236E5500E90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[ HORA(S) NOTURNA(S) REDUZIDA(S) x (SALÁRIO HORA + ADICIONAL NOTURNO) ] x DIA(S) TRABALHADO(S)</t>
        </r>
      </text>
    </comment>
    <comment ref="B19" authorId="0" shapeId="0" xr:uid="{CAA0A51B-91D6-45A8-B662-2AD769567BC2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8" authorId="0" shapeId="0" xr:uid="{5FCF0506-0D9E-48E2-9972-21A493FE88BD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9" authorId="0" shapeId="0" xr:uid="{6078F2C7-9047-4802-A90F-B26CD7F42FC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2" authorId="0" shapeId="0" xr:uid="{62EC04D1-0F93-436F-9583-1A5C578D5420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7" authorId="0" shapeId="0" xr:uid="{E3DE6CEA-F4D0-4B78-9D5C-E10516DC58A5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  <comment ref="A69" authorId="0" shapeId="0" xr:uid="{0D92A446-30FE-41DD-A2E6-57E8385E04EF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((Salário-hora + 50% ) X adicional noturno%) x dias trabalhados</t>
        </r>
      </text>
    </comment>
  </commentList>
</comments>
</file>

<file path=xl/sharedStrings.xml><?xml version="1.0" encoding="utf-8"?>
<sst xmlns="http://schemas.openxmlformats.org/spreadsheetml/2006/main" count="850" uniqueCount="179">
  <si>
    <t>Valor Unitário</t>
  </si>
  <si>
    <t>Alíquota</t>
  </si>
  <si>
    <t>Valor Anual / Total</t>
  </si>
  <si>
    <t>Valor Anual/Total</t>
  </si>
  <si>
    <t>TOTAL DO MÓDULO 1: CUSTOS DE MÃO DE OBRA (INCLUI ENCARGOS PREVIDENCIÁRIOS E FGTS)</t>
  </si>
  <si>
    <t>Módulo 1</t>
  </si>
  <si>
    <t>Módulo 2</t>
  </si>
  <si>
    <t>Módulo 3</t>
  </si>
  <si>
    <t>Módulo 4</t>
  </si>
  <si>
    <t>Local e Data</t>
  </si>
  <si>
    <t>Assinatura do Responsável</t>
  </si>
  <si>
    <t>MÓDULO 1.1: MÃO DE OBRA SEM INCIDÊNCIA DE ENCARGOS PREVIDENCIÁRIOS E FGTS</t>
  </si>
  <si>
    <t>Valor Mensal</t>
  </si>
  <si>
    <t>MÓDULO 1.2: 13°, FÉRIAS E ADICIONAL DE FÉRIAS</t>
  </si>
  <si>
    <t>Total Módulo 1.2: 13°, Férias e adicional de férias</t>
  </si>
  <si>
    <t>MÓDULO 1.3: GPS, FGTS E OUTRAS CONTRIBUIÇÕES</t>
  </si>
  <si>
    <t>Total Módulo 1.3:  GPS, FGTS e outras contribuições</t>
  </si>
  <si>
    <t>B - Auxílio-Refeição/Alimentação</t>
  </si>
  <si>
    <t>C - Assistência médica e Familiar</t>
  </si>
  <si>
    <t>D - Benefício Social Familiar (BSF)</t>
  </si>
  <si>
    <t>A - 13° Salário, Férias, Adicional de férias</t>
  </si>
  <si>
    <t>A - INSS</t>
  </si>
  <si>
    <t>Referência Unitário</t>
  </si>
  <si>
    <t>MÓDULO 1 - COMPOSIÇÃO DA REMUNERAÇÃO</t>
  </si>
  <si>
    <t>A - Aviso prévio indenizado</t>
  </si>
  <si>
    <t>B - Incidência do FGTS sobre o aviso prévio indenizado</t>
  </si>
  <si>
    <t>C - Multa do FGTS do aviso prévio indenizado</t>
  </si>
  <si>
    <t>D - Aviso prévio trabalhado</t>
  </si>
  <si>
    <t>E - Incidência do submódulo 2.2 sobre aviso prévio trabalhado</t>
  </si>
  <si>
    <t>F - Multa do FGTS sobre o aviso prévio trabalhado</t>
  </si>
  <si>
    <t>MÓDULO 2.1: PROVISÃO PARA RESCISÃO</t>
  </si>
  <si>
    <t>MÓDULO 2: PROVISÃO PARA RESCISÃO E CUSTO DE REPOSIÇÃO DO PROFISSIONAL AUSENTE</t>
  </si>
  <si>
    <t>MÓDULO 2.2: REPOSIÇÃO DO PROFISSIONAL AUSENTE</t>
  </si>
  <si>
    <t>A - Substituto na cobertura de Férias</t>
  </si>
  <si>
    <t>B - Substituto na cobertura de Licença-Paternidade</t>
  </si>
  <si>
    <t xml:space="preserve">C -Substituto na cobertura de Ausência por acidente de trabalho </t>
  </si>
  <si>
    <t>D - Substituto na cobertura de Afastamento Maternidade</t>
  </si>
  <si>
    <t>E - Substituto na cobertura de Ausências Legais</t>
  </si>
  <si>
    <t>Total Módulo 2.1: Provisão Para Rescisão</t>
  </si>
  <si>
    <t>Total Módulo 2.2: Provisão Para Rescisão</t>
  </si>
  <si>
    <t>TOTAL DO MÓDULO 2: PROVISÃO PARA RESCISÃO E CUSTO DE REPOSIÇÃO DO PROFISSIONAL AUSENTE</t>
  </si>
  <si>
    <t>MÓDULO 5: CUSTOS INDIRETOS, TRIBUTOS E LUCROS</t>
  </si>
  <si>
    <t xml:space="preserve">Valor Anual/Total </t>
  </si>
  <si>
    <t>%</t>
  </si>
  <si>
    <t>B - Lucro</t>
  </si>
  <si>
    <t>C - Tributos</t>
  </si>
  <si>
    <t>BASE DE CÁLCULO DOS TRIBUTOS</t>
  </si>
  <si>
    <t xml:space="preserve">CÁLCULO DOS TRIBUTOS = Base de Cálculo dos Tributos / (1-(Total de Tributos em % dividido por 100)] x Alíquota do tributo </t>
  </si>
  <si>
    <t xml:space="preserve">   C1. Tributos Federais</t>
  </si>
  <si>
    <t xml:space="preserve">        COFINS</t>
  </si>
  <si>
    <t xml:space="preserve">        PIS</t>
  </si>
  <si>
    <t xml:space="preserve">   SUBTOTAL Tributos</t>
  </si>
  <si>
    <r>
      <t>A - Custos indiretos</t>
    </r>
    <r>
      <rPr>
        <sz val="9"/>
        <rFont val="Calibri"/>
        <family val="2"/>
        <scheme val="minor"/>
      </rPr>
      <t xml:space="preserve"> </t>
    </r>
  </si>
  <si>
    <r>
      <t xml:space="preserve">   C2. Tributos Municipais  - </t>
    </r>
    <r>
      <rPr>
        <b/>
        <sz val="9"/>
        <rFont val="Calibri"/>
        <family val="2"/>
        <scheme val="minor"/>
      </rPr>
      <t>ISS</t>
    </r>
  </si>
  <si>
    <t>VALOR TOTAL DOS MÓDULOS</t>
  </si>
  <si>
    <t>Fundamentação: art. 7º, inciso VIII, da C.F., Lei nº 4.090/62 e Lei nº 7.787/89. (1 salário / 12 meses)</t>
  </si>
  <si>
    <t>(1/3) do salário / 12 (meses) * 100 = 2,78%</t>
  </si>
  <si>
    <t>B - Salário Educação</t>
  </si>
  <si>
    <t>C - RAT = RAT X FAP</t>
  </si>
  <si>
    <t>D - SESC ou SESI</t>
  </si>
  <si>
    <t>E - SENAI - SENAC</t>
  </si>
  <si>
    <t>F -  SEBRAE</t>
  </si>
  <si>
    <t>G - INCRA</t>
  </si>
  <si>
    <t>H - FGTS</t>
  </si>
  <si>
    <t>Fundamentação: art. 22, inciso I da Lei nº 8.212/91.</t>
  </si>
  <si>
    <t>Decreto n.º 6.003, de 20 de dezembro de 2006, regulamenta a contribuição social do salário educação.</t>
  </si>
  <si>
    <t>A alíquota do SAT refere-se ao risco da atividade preponderante da empresa, individualizado de acordo com o seu Fator Acidentário de Prevenção (FAP), conforme Decreto Federal nº 6.957/2009.</t>
  </si>
  <si>
    <t>Fundamentação: art. 30 da Lei nº 8.036/90.</t>
  </si>
  <si>
    <t>Fundamentação: Decreto-Lei nº 6.246/44 e 8.621/46</t>
  </si>
  <si>
    <t>Fundamentação: Lei nº 8.029/90, alterada pela Lei nº 8.154/90.</t>
  </si>
  <si>
    <t>Fundamentação: art. 1º, inciso I, do Decreto-Lei nº 1.146/70.</t>
  </si>
  <si>
    <t>Fundamentação: art. 15 da Lei nº 8.036/90 e art. 7º, inciso III, da Constituição Federal de 1988.</t>
  </si>
  <si>
    <t>Devido à imprevisibilidade, esse é um montante que a empresa deverá provisionar.</t>
  </si>
  <si>
    <t>8% (alíquota do FGTS) sobre o valor do API. (8% x 0,42% = 0,033%)</t>
  </si>
  <si>
    <t>50% do valor da incidência do FGTS sobre o API. (50% x 0,033% = 0,016%)</t>
  </si>
  <si>
    <t>art. 488 da CLT. ((7/30)/12)x 100 = 1,94%</t>
  </si>
  <si>
    <t>Alíquota total do submódulo 2.2 sobre o valor do APT.</t>
  </si>
  <si>
    <t>50% do valor da incidência do FGTS sobre o APT. (50% x 8% x 1,94% = 0,077%)</t>
  </si>
  <si>
    <t>C. F. art. 7º, inciso VIII, Lei nº 4.090/62 e Lei nº 7.787/89</t>
  </si>
  <si>
    <t>Lei Federal 11.770/2008, atualizada pela Lei 13.257/2016</t>
  </si>
  <si>
    <t>Artigo 27 do Decreto nº 89.312</t>
  </si>
  <si>
    <t>Fundamentação: arts. 473 e 83 da CLT.</t>
  </si>
  <si>
    <t>IN 05/2017 – Anexo I</t>
  </si>
  <si>
    <t>art. 3º - CTN – Lei nº 5.172/66</t>
  </si>
  <si>
    <t>Art. 2º da Lei 10.833/03</t>
  </si>
  <si>
    <t>Lei nº 10.637/02.</t>
  </si>
  <si>
    <t>Segundo o CTN, até 5% de acordo com o serviço</t>
  </si>
  <si>
    <t>IN 05/2017 - O manual de orientação do MPOG estabelece como valores
limites para os serviços de vigilância e limpeza os
percentuais de 6% e 3%, respectivamente.</t>
  </si>
  <si>
    <t>F - Auxílio Alimentação nas Férias</t>
  </si>
  <si>
    <t>Total Módulo 1.4:  Benefícios mensais e diários</t>
  </si>
  <si>
    <t>Qtd anual por funcionário</t>
  </si>
  <si>
    <t>E - Fundo de Formação Profissional</t>
  </si>
  <si>
    <t>Lei nº 7.418/1985: obrigação de pagar deslocamentos do trabalhador no percurso residência-trabalho-residência. O empregador participará dos gastos de deslocamento do trabalhador com a ajuda de custo equivalente à parcela que exceder a 6% (seis por cento) de seu salário básico.</t>
  </si>
  <si>
    <t>A - Transporte (24 dias trabalhados x 3,80 valor da passagem x 2) - (6% do salário)</t>
  </si>
  <si>
    <t>MÓDULO 1.4: BENEFÍCIOS MENSAIS E DIÁRIOS</t>
  </si>
  <si>
    <t>EPIS</t>
  </si>
  <si>
    <t>Valor Mensal EPIs</t>
  </si>
  <si>
    <t>MÓDULO 4: CUSTOS INDIRETOS, TRIBUTOS E LUCROS</t>
  </si>
  <si>
    <t>TOTAL MÓDULO 4: CUSTOS INDIRETOS, TRIBUTAÇÃO E LUCROS</t>
  </si>
  <si>
    <t>BASE DE CÁLCULO DOS CUSTOS INDIRETOS/DESPESAS OPERACIONAIS/ADMINISTRATIVAS  (Módulo 1 + Módulo 2+ Módulo 3)</t>
  </si>
  <si>
    <t xml:space="preserve">BASE DE CÁLCULO DO LUCRO = (Módulo 1 + Módulo 2+ Módulo 3 + Custos Indiretos) </t>
  </si>
  <si>
    <t>FUNDAMENTAÇÃO</t>
  </si>
  <si>
    <t>B - Férias e Adicional de férias s (O custo com o valor pago ao substituto durante as férias do titular consta na letra "A" do submódulo 4)</t>
  </si>
  <si>
    <t>B - Férias e Adicional de férias</t>
  </si>
  <si>
    <t>Quantidade Anual Total</t>
  </si>
  <si>
    <t>CLÁUSULA DÉCIMA SEXTA DA CCT.</t>
  </si>
  <si>
    <t>CLÁUSULA DÉCIMA SÉTIMA DA CCT.</t>
  </si>
  <si>
    <t>CLÁUSULA VIGÉSIMA TERCEIRA DA CCT.</t>
  </si>
  <si>
    <t>CLÁUSULA DÉCIMA TERCEIRA DA CCT.</t>
  </si>
  <si>
    <t>Estimativa com base na quantidade necessária para o processo e nos preços de mercado.</t>
  </si>
  <si>
    <t>MUNICÍPIO DE CORONEL VIVIDA
MODELO DE PLANILHA DE FORMAÇÃO DE CUSTOS - ITEM 01</t>
  </si>
  <si>
    <t>SERVENTE DE LIMPEZA E COPEIRA 08 HORAS DIÁRIAS, DE SEGUNDA A SEXTA-FEIRA, TOTALIZANDO 40 HORAS SEMANAIS.</t>
  </si>
  <si>
    <t>B - GRATIFICAÇÃO POR CUMULAÇÃO DE FUNÇÃO</t>
  </si>
  <si>
    <t>Valor</t>
  </si>
  <si>
    <t>A - SERVENTE (40 HORAS SEMANAIS)</t>
  </si>
  <si>
    <t>MÓDULO 3: CUSTOS COM INSUMOS DIVERSOS</t>
  </si>
  <si>
    <t>MÓDULO 3.1: EPIS E UNIFORMES</t>
  </si>
  <si>
    <t>A- Calça brim</t>
  </si>
  <si>
    <t>B - Camisa manga curta</t>
  </si>
  <si>
    <t>C - Avental</t>
  </si>
  <si>
    <t>D - Rede de cabelo</t>
  </si>
  <si>
    <t>E - Luva nitrílica</t>
  </si>
  <si>
    <t>F - Calçado de segurança</t>
  </si>
  <si>
    <t>G - Bota de limpeza</t>
  </si>
  <si>
    <t>H - Óculos de segurança</t>
  </si>
  <si>
    <t>Tabela de salários da SIEMACO 2025</t>
  </si>
  <si>
    <t>A - SALÁRIO</t>
  </si>
  <si>
    <t>MÓDULO 3: CUSTOS COM INSUMOS</t>
  </si>
  <si>
    <t>CLÁUSULA DÉCIMA TERCEIRA DA CCT (R$ 805,00 - 20%)</t>
  </si>
  <si>
    <t>Quantidade (referência)</t>
  </si>
  <si>
    <t>QUANTIDADE DE FUNCIONÁRIOS</t>
  </si>
  <si>
    <t xml:space="preserve">VALOR TOTAL MENSAL </t>
  </si>
  <si>
    <t>VALOR TOTAL ANUAL</t>
  </si>
  <si>
    <t>MUNICÍPIO DE CORONEL VIVIDA
MODELO DE PLANILHA DE FORMAÇÃO DE CUSTOS - ITEM 02</t>
  </si>
  <si>
    <t>SERVENTE DE LIMPEZA E COPEIRA 04 HORAS DIÁRIAS, DE SEGUNDA A SEXTA-FEIRA, TOTALIZANDO 20 HORAS SEMANAIS.</t>
  </si>
  <si>
    <t>A - SERVENTE (20 HORAS SEMANAIS)</t>
  </si>
  <si>
    <t>MUNICÍPIO DE CORONEL VIVIDA
MODELO DE PLANILHA DE FORMAÇÃO DE CUSTOS - ITEM 03</t>
  </si>
  <si>
    <t>SERVENTE DE LIMPEZA 08 HORAS DIÁRIAS, DE SEGUNDA A SEXTA- FEIRA, TOTALIZANDO 40 HORAS SEMANAIS.</t>
  </si>
  <si>
    <t>MUNICÍPIO DE CORONEL VIVIDA
MODELO DE PLANILHA DE FORMAÇÃO DE CUSTOS - ITEM 04</t>
  </si>
  <si>
    <t>SERVENTE DE LIMPEZA 04 HORAS DIÁRIAS, DE SEGUNDA A SEXTA- FEIRA, TOTALIZANDO 20 HORAS SEMANAIS.</t>
  </si>
  <si>
    <t>MUNICÍPIO DE CORONEL VIVIDA
MODELO DE PLANILHA DE FORMAÇÃO DE CUSTOS - ITEM 05</t>
  </si>
  <si>
    <t>SERVENTE DE LIMPEZA E COPEIRA, ESCALA DE 12X36, DIURNO, DAS 07H AS 19H, COM SUPRESSÃO DE INTRAJORNADA TOTALIZANDO 44 HORAS SEMANAIS.</t>
  </si>
  <si>
    <t>A - SERVENTE (44 HORAS SEMANAIS)</t>
  </si>
  <si>
    <t>MÓDULO 4: Intervalo Intrajornada</t>
  </si>
  <si>
    <t>A - Supressão do intervalo para repouso ou alimentação</t>
  </si>
  <si>
    <t>TOTAL DO MÓDULO 4: INTERVALO INTRAJORNADA</t>
  </si>
  <si>
    <t>TOTAL MÓDULO 5: CUSTOS INDIRETOS, TRIBUTAÇÃO E LUCROS</t>
  </si>
  <si>
    <t>Módulo 5</t>
  </si>
  <si>
    <t>MUNICÍPIO DE CORONEL VIVIDA
MODELO DE PLANILHA DE FORMAÇÃO DE CUSTOS - ITEM 06</t>
  </si>
  <si>
    <t>SERVENTE DE LIMPEZA E COPEIRA, ESCALA DE 12X36, NOTURNO, DAS 19H AS 07H COM PREVISÃO DE INTRAJORNADA, TOTALIZANDO 44 HORAS SEMANAIS.</t>
  </si>
  <si>
    <t>D - ADICIONAL NOTURNO</t>
  </si>
  <si>
    <t>E - ADICIONAL DE HORA NOTURNA REDUZIDA</t>
  </si>
  <si>
    <t>Artigo 73 do Decreto Lei nº 5.452 de 01 de Maio de 1943. "Salvo nos casos de revezamento semanal ou quinzenal, o trabalho noturno terá remuneração superior a do diurno e, para esse efeito, sua remuneração terá um acréscimo de 20 % (vinte por cento), pelo menos, sobre a hora diurna. " (9 = horas noturnas. 22h às 7h da manhã, conforme Súmula nº 60 do TST.)</t>
  </si>
  <si>
    <t>Artigo 73 do Decreto Lei nº 5.452 de 01 de Maio de 1943. "§ 1º A hora do trabalho noturno será computada como de 52 minutos e 30 segundos." (9 = horas noturnas. 22h às 7h da manhã, conforme Súmula nº 60 do TST.)</t>
  </si>
  <si>
    <t>Intervalo para repouso ou alimentação em qualquer trabalho contínuo, superior a 6 horas. A não concessão do intervalo obriga o empregador a pagar por esse período, nos termos da lei. (Intervalo mínimo reduzido para 30 minutos – art. 611-A da CLT). Salário-hora X Dias trabalhados no mês (sem intervalo) X 1,5 (Adicional de 50%)</t>
  </si>
  <si>
    <t>CUSTO ESTIMADO PARA CONTRATAÇÃO</t>
  </si>
  <si>
    <t>LOTE</t>
  </si>
  <si>
    <t>ITEM</t>
  </si>
  <si>
    <t>CÓDIGO LC</t>
  </si>
  <si>
    <t>SERVIÇOS</t>
  </si>
  <si>
    <t>QUANTIDADE DE FUNCIONÁRIOS POR FUNÇÃO</t>
  </si>
  <si>
    <t>QUANTIDADE ANUAL EM FUNÇÃO DA UNIDADE DE MEDIDA (Qtd x 12 meses)</t>
  </si>
  <si>
    <t>VALORES UNITÁRIOS CONFORME PLANILHAS DE CUSTOS</t>
  </si>
  <si>
    <t>CUSTO MENSAL MÁXIMO R$</t>
  </si>
  <si>
    <t xml:space="preserve">CUSTO ANUAL MÁXIMO R$ </t>
  </si>
  <si>
    <r>
      <rPr>
        <b/>
        <sz val="10"/>
        <rFont val="Calibri"/>
        <family val="2"/>
      </rPr>
      <t xml:space="preserve">SERVENTE DE LIMPEZA E COPEIRA </t>
    </r>
    <r>
      <rPr>
        <sz val="10"/>
        <rFont val="Calibri"/>
        <family val="2"/>
      </rPr>
      <t xml:space="preserve">08 HORAS DIÁRIAS, DE SEGUNDA A SEXTA-FEIRA, TOTALIZANDO </t>
    </r>
    <r>
      <rPr>
        <b/>
        <sz val="10"/>
        <rFont val="Calibri"/>
        <family val="2"/>
      </rPr>
      <t>40 HORAS</t>
    </r>
    <r>
      <rPr>
        <sz val="10"/>
        <rFont val="Calibri"/>
        <family val="2"/>
      </rPr>
      <t xml:space="preserve"> SEMANAIS.</t>
    </r>
  </si>
  <si>
    <r>
      <rPr>
        <b/>
        <sz val="10"/>
        <rFont val="Calibri"/>
        <family val="2"/>
      </rPr>
      <t>SERVENTE DE LIMPEZA E COPEIRA</t>
    </r>
    <r>
      <rPr>
        <sz val="10"/>
        <rFont val="Calibri"/>
        <family val="2"/>
      </rPr>
      <t xml:space="preserve"> 04 HORAS DIÁRIAS, DE SEGUNDA A SEXTA-FEIRA, TOTALIZANDO </t>
    </r>
    <r>
      <rPr>
        <b/>
        <sz val="10"/>
        <rFont val="Calibri"/>
        <family val="2"/>
      </rPr>
      <t>20 HORAS</t>
    </r>
    <r>
      <rPr>
        <sz val="10"/>
        <rFont val="Calibri"/>
        <family val="2"/>
      </rPr>
      <t xml:space="preserve"> SEMANAIS.</t>
    </r>
  </si>
  <si>
    <r>
      <rPr>
        <b/>
        <sz val="10"/>
        <rFont val="Calibri"/>
        <family val="2"/>
      </rPr>
      <t>SERVENTE DE LIMPEZA</t>
    </r>
    <r>
      <rPr>
        <sz val="10"/>
        <rFont val="Calibri"/>
        <family val="2"/>
      </rPr>
      <t xml:space="preserve"> 08 HORAS DIÁRIAS, DE SEGUNDA A SEXTA- FEIRA, TOTALIZANDO </t>
    </r>
    <r>
      <rPr>
        <b/>
        <sz val="10"/>
        <rFont val="Calibri"/>
        <family val="2"/>
      </rPr>
      <t>40 HORAS</t>
    </r>
    <r>
      <rPr>
        <sz val="10"/>
        <rFont val="Calibri"/>
        <family val="2"/>
      </rPr>
      <t xml:space="preserve"> SEMANAIS.</t>
    </r>
  </si>
  <si>
    <r>
      <rPr>
        <b/>
        <sz val="10"/>
        <rFont val="Calibri"/>
        <family val="2"/>
      </rPr>
      <t>SERVENTE DE LIMPEZA</t>
    </r>
    <r>
      <rPr>
        <sz val="10"/>
        <rFont val="Calibri"/>
        <family val="2"/>
      </rPr>
      <t xml:space="preserve"> 04 HORAS DIÁRIAS, DE SEGUNDA A SEXTA- FEIRA, TOTALIZANDO</t>
    </r>
    <r>
      <rPr>
        <b/>
        <sz val="10"/>
        <rFont val="Calibri"/>
        <family val="2"/>
      </rPr>
      <t xml:space="preserve"> 20 HORAS</t>
    </r>
    <r>
      <rPr>
        <sz val="10"/>
        <rFont val="Calibri"/>
        <family val="2"/>
      </rPr>
      <t xml:space="preserve"> SEMANAIS.</t>
    </r>
  </si>
  <si>
    <r>
      <rPr>
        <b/>
        <sz val="10"/>
        <rFont val="Calibri"/>
        <family val="2"/>
      </rPr>
      <t xml:space="preserve">SERVENTE DE LIMPEZA E COPEIRA, </t>
    </r>
    <r>
      <rPr>
        <sz val="10"/>
        <rFont val="Calibri"/>
        <family val="2"/>
      </rPr>
      <t>ESCALA DE</t>
    </r>
    <r>
      <rPr>
        <b/>
        <sz val="10"/>
        <rFont val="Calibri"/>
        <family val="2"/>
      </rPr>
      <t xml:space="preserve"> 12X36, DIURNO, DAS 07H AS 19H</t>
    </r>
    <r>
      <rPr>
        <sz val="10"/>
        <rFont val="Calibri"/>
        <family val="2"/>
      </rPr>
      <t>, COM SUPRESSÃO DE INTRAJORNADA TOTALIZANDO 44 HORAS SEMANAIS.</t>
    </r>
  </si>
  <si>
    <r>
      <rPr>
        <b/>
        <sz val="10"/>
        <rFont val="Calibri"/>
        <family val="2"/>
      </rPr>
      <t xml:space="preserve">SERVENTE DE LIMPEZA E COPEIRA, </t>
    </r>
    <r>
      <rPr>
        <sz val="10"/>
        <rFont val="Calibri"/>
        <family val="2"/>
      </rPr>
      <t>ESCALA DE</t>
    </r>
    <r>
      <rPr>
        <b/>
        <sz val="10"/>
        <rFont val="Calibri"/>
        <family val="2"/>
      </rPr>
      <t xml:space="preserve"> 12X36, NOTURNO, DAS 19H AS 07H COM PREVISÃO DE INTRAJORNADA</t>
    </r>
    <r>
      <rPr>
        <sz val="10"/>
        <rFont val="Calibri"/>
        <family val="2"/>
      </rPr>
      <t>, TOTALIZANDO 44 HORAS SEMANAIS.</t>
    </r>
  </si>
  <si>
    <t>CUSTO TOTAL MÁXIMO R$</t>
  </si>
  <si>
    <t>Planejamento de Contratação</t>
  </si>
  <si>
    <t>C - INSALUBRIDADE (40% DO SALÁRIO MÍNIMO)</t>
  </si>
  <si>
    <t>SÚMULA 448 DO TST - 40% do Salário mínimo nacional</t>
  </si>
  <si>
    <t>MÓDULO 4: INTRAJORNADA (ITENS 5 E 6)</t>
  </si>
  <si>
    <t>MÓDULO 5: CUSTOS INDIRETOS, TRIBUTOS E LUCROS (MÓDULO 4 ITENS 1 AO 4)</t>
  </si>
  <si>
    <t>Elaine Bortolotto</t>
  </si>
  <si>
    <t>Coronel Vivida, 17 de março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</si>
</sst>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&quot;R$&quot;\ #,##0.00"/>
    <numFmt numFmtId="165" formatCode="0.000%"/>
    <numFmt numFmtId="166" formatCode="_(&quot;R$ &quot;* #,##0.00_);_(&quot;R$ &quot;* \(#,##0.00\);_(&quot;R$ &quot;* &quot;-&quot;??_);_(@_)"/>
    <numFmt numFmtId="167" formatCode="&quot;R$&quot;\ #,##0.000"/>
    <numFmt numFmtId="168" formatCode="_-[$R$-416]\ * #,##0.00_-;\-[$R$-416]\ * #,##0.00_-;_-[$R$-416]\ * &quot;-&quot;??_-;_-@_-"/>
    <numFmt numFmtId="169" formatCode="_ * #,##0.00_ ;_ * \-#,##0.00_ ;_ * &quot;-&quot;??_ ;_ @_ "/>
    <numFmt numFmtId="170" formatCode="_ * #,##0.0000_ ;_ * \-#,##0.0000_ ;_ * &quot;-&quot;??_ ;_ @_ "/>
  </numFmts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0" fontId="1" fillId="4" borderId="1" xfId="2" applyNumberFormat="1" applyFont="1" applyFill="1" applyBorder="1" applyAlignment="1">
      <alignment horizontal="center" vertical="center" wrapText="1"/>
    </xf>
    <xf numFmtId="165" fontId="1" fillId="4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justify" vertical="center" wrapText="1"/>
    </xf>
    <xf numFmtId="0" fontId="2" fillId="12" borderId="1" xfId="0" applyFont="1" applyFill="1" applyBorder="1" applyAlignment="1">
      <alignment horizontal="center" vertical="center" wrapText="1"/>
    </xf>
    <xf numFmtId="10" fontId="2" fillId="12" borderId="1" xfId="2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44" fontId="1" fillId="10" borderId="1" xfId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justify" vertical="center" wrapText="1"/>
    </xf>
    <xf numFmtId="0" fontId="11" fillId="9" borderId="1" xfId="0" applyFont="1" applyFill="1" applyBorder="1" applyAlignment="1">
      <alignment horizontal="justify" vertical="center" wrapText="1"/>
    </xf>
    <xf numFmtId="10" fontId="11" fillId="9" borderId="1" xfId="2" applyNumberFormat="1" applyFont="1" applyFill="1" applyBorder="1" applyAlignment="1">
      <alignment horizontal="center" vertical="center" wrapText="1"/>
    </xf>
    <xf numFmtId="10" fontId="7" fillId="4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3" fillId="4" borderId="0" xfId="0" applyNumberFormat="1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1" fontId="7" fillId="2" borderId="9" xfId="0" applyNumberFormat="1" applyFont="1" applyFill="1" applyBorder="1" applyAlignment="1">
      <alignment horizontal="center" vertical="top" shrinkToFit="1"/>
    </xf>
    <xf numFmtId="164" fontId="3" fillId="11" borderId="8" xfId="0" applyNumberFormat="1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164" fontId="12" fillId="0" borderId="0" xfId="0" applyNumberFormat="1" applyFont="1" applyAlignment="1">
      <alignment vertical="center"/>
    </xf>
    <xf numFmtId="164" fontId="1" fillId="4" borderId="5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44" fontId="7" fillId="4" borderId="1" xfId="1" applyFont="1" applyFill="1" applyBorder="1" applyAlignment="1">
      <alignment horizontal="center" vertical="top"/>
    </xf>
    <xf numFmtId="44" fontId="7" fillId="4" borderId="10" xfId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justify" vertical="center" wrapText="1"/>
    </xf>
    <xf numFmtId="0" fontId="1" fillId="14" borderId="1" xfId="0" applyFont="1" applyFill="1" applyBorder="1" applyAlignment="1">
      <alignment horizontal="left" vertical="center" wrapText="1"/>
    </xf>
    <xf numFmtId="164" fontId="1" fillId="14" borderId="1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 vertical="center"/>
    </xf>
    <xf numFmtId="169" fontId="0" fillId="0" borderId="0" xfId="0" applyNumberFormat="1"/>
    <xf numFmtId="17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9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8" fontId="15" fillId="13" borderId="1" xfId="0" applyNumberFormat="1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166" fontId="10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166" fontId="11" fillId="9" borderId="1" xfId="0" applyNumberFormat="1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left" vertical="center" wrapText="1"/>
    </xf>
    <xf numFmtId="0" fontId="10" fillId="9" borderId="7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left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6" fontId="4" fillId="9" borderId="5" xfId="0" applyNumberFormat="1" applyFont="1" applyFill="1" applyBorder="1" applyAlignment="1">
      <alignment horizontal="center" vertical="center" wrapText="1"/>
    </xf>
    <xf numFmtId="166" fontId="4" fillId="9" borderId="6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44" fontId="1" fillId="10" borderId="5" xfId="1" applyFont="1" applyFill="1" applyBorder="1" applyAlignment="1">
      <alignment horizontal="center" vertical="center" wrapText="1"/>
    </xf>
    <xf numFmtId="44" fontId="1" fillId="10" borderId="6" xfId="1" applyFont="1" applyFill="1" applyBorder="1" applyAlignment="1">
      <alignment horizontal="center" vertical="center" wrapText="1"/>
    </xf>
    <xf numFmtId="44" fontId="2" fillId="10" borderId="5" xfId="1" applyFont="1" applyFill="1" applyBorder="1" applyAlignment="1">
      <alignment horizontal="center" vertical="center" wrapText="1"/>
    </xf>
    <xf numFmtId="44" fontId="2" fillId="10" borderId="6" xfId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6918-C05B-4D49-9DA6-378306716744}">
  <sheetPr>
    <pageSetUpPr fitToPage="1"/>
  </sheetPr>
  <dimension ref="A1:I19"/>
  <sheetViews>
    <sheetView tabSelected="1" workbookViewId="0">
      <selection activeCell="I10" sqref="I10"/>
    </sheetView>
  </sheetViews>
  <sheetFormatPr defaultRowHeight="14.4" x14ac:dyDescent="0.3"/>
  <cols>
    <col min="1" max="1" width="6.109375" customWidth="1"/>
    <col min="2" max="2" width="9.5546875" customWidth="1"/>
    <col min="3" max="3" width="7.44140625" bestFit="1" customWidth="1"/>
    <col min="4" max="4" width="54.109375" customWidth="1"/>
    <col min="5" max="5" width="13.6640625" customWidth="1"/>
    <col min="6" max="7" width="18.44140625" customWidth="1"/>
    <col min="8" max="8" width="16.6640625" customWidth="1"/>
    <col min="9" max="9" width="16.88671875" customWidth="1"/>
  </cols>
  <sheetData>
    <row r="1" spans="1:9" x14ac:dyDescent="0.3">
      <c r="A1" s="95" t="s">
        <v>155</v>
      </c>
      <c r="B1" s="95"/>
      <c r="C1" s="95"/>
      <c r="D1" s="95"/>
      <c r="E1" s="95"/>
      <c r="F1" s="95"/>
      <c r="G1" s="95"/>
      <c r="H1" s="95"/>
      <c r="I1" s="95"/>
    </row>
    <row r="2" spans="1:9" x14ac:dyDescent="0.3">
      <c r="A2" s="95"/>
      <c r="B2" s="95"/>
      <c r="C2" s="95"/>
      <c r="D2" s="95"/>
      <c r="E2" s="95"/>
      <c r="F2" s="95"/>
      <c r="G2" s="95"/>
      <c r="H2" s="95"/>
      <c r="I2" s="95"/>
    </row>
    <row r="3" spans="1:9" ht="55.2" x14ac:dyDescent="0.3">
      <c r="A3" s="78" t="s">
        <v>156</v>
      </c>
      <c r="B3" s="78" t="s">
        <v>157</v>
      </c>
      <c r="C3" s="78" t="s">
        <v>158</v>
      </c>
      <c r="D3" s="78" t="s">
        <v>159</v>
      </c>
      <c r="E3" s="78" t="s">
        <v>160</v>
      </c>
      <c r="F3" s="78" t="s">
        <v>161</v>
      </c>
      <c r="G3" s="79" t="s">
        <v>162</v>
      </c>
      <c r="H3" s="78" t="s">
        <v>163</v>
      </c>
      <c r="I3" s="78" t="s">
        <v>164</v>
      </c>
    </row>
    <row r="4" spans="1:9" ht="27.6" x14ac:dyDescent="0.3">
      <c r="A4" s="96">
        <v>1</v>
      </c>
      <c r="B4" s="80">
        <v>1</v>
      </c>
      <c r="C4" s="81">
        <v>23953</v>
      </c>
      <c r="D4" s="82" t="s">
        <v>165</v>
      </c>
      <c r="E4" s="83">
        <v>9</v>
      </c>
      <c r="F4" s="80">
        <f>E4*12</f>
        <v>108</v>
      </c>
      <c r="G4" s="84">
        <f>'ITEM 01 - SERVENTE COPEIRA 40H'!C90</f>
        <v>6041.7</v>
      </c>
      <c r="H4" s="84">
        <f>G4*E4</f>
        <v>54375.3</v>
      </c>
      <c r="I4" s="84">
        <f>H4*12</f>
        <v>652503.6</v>
      </c>
    </row>
    <row r="5" spans="1:9" ht="27.6" x14ac:dyDescent="0.3">
      <c r="A5" s="97"/>
      <c r="B5" s="80">
        <v>2</v>
      </c>
      <c r="C5" s="85">
        <v>23954</v>
      </c>
      <c r="D5" s="82" t="s">
        <v>166</v>
      </c>
      <c r="E5" s="86">
        <v>2</v>
      </c>
      <c r="F5" s="80">
        <f t="shared" ref="F5:F9" si="0">E5*12</f>
        <v>24</v>
      </c>
      <c r="G5" s="84">
        <f>'ITEM 02 - SERVENTE COPEIRA 20H'!C90</f>
        <v>4338.51</v>
      </c>
      <c r="H5" s="84">
        <f>G5*E5</f>
        <v>8677.02</v>
      </c>
      <c r="I5" s="84">
        <f>H5*12</f>
        <v>104124.24</v>
      </c>
    </row>
    <row r="6" spans="1:9" ht="27.6" x14ac:dyDescent="0.3">
      <c r="A6" s="97"/>
      <c r="B6" s="80">
        <v>3</v>
      </c>
      <c r="C6" s="85">
        <v>23955</v>
      </c>
      <c r="D6" s="82" t="s">
        <v>167</v>
      </c>
      <c r="E6" s="87">
        <v>1</v>
      </c>
      <c r="F6" s="80">
        <f t="shared" si="0"/>
        <v>12</v>
      </c>
      <c r="G6" s="84">
        <f>'ITEM 03 - SERVENTE 40H'!C90</f>
        <v>5813.38</v>
      </c>
      <c r="H6" s="84">
        <f>G6*E6</f>
        <v>5813.38</v>
      </c>
      <c r="I6" s="84">
        <f t="shared" ref="I6:I9" si="1">H6*12</f>
        <v>69760.56</v>
      </c>
    </row>
    <row r="7" spans="1:9" ht="27.6" x14ac:dyDescent="0.3">
      <c r="A7" s="97"/>
      <c r="B7" s="80">
        <v>4</v>
      </c>
      <c r="C7" s="85">
        <v>23956</v>
      </c>
      <c r="D7" s="82" t="s">
        <v>168</v>
      </c>
      <c r="E7" s="86">
        <v>2</v>
      </c>
      <c r="F7" s="80">
        <f t="shared" si="0"/>
        <v>24</v>
      </c>
      <c r="G7" s="84">
        <f>'ITEM 04 - SERVENTE 20H'!C90</f>
        <v>4224.3500000000004</v>
      </c>
      <c r="H7" s="84">
        <f>G7*E7</f>
        <v>8448.7000000000007</v>
      </c>
      <c r="I7" s="84">
        <f t="shared" si="1"/>
        <v>101384.4</v>
      </c>
    </row>
    <row r="8" spans="1:9" ht="41.4" x14ac:dyDescent="0.3">
      <c r="A8" s="97"/>
      <c r="B8" s="80">
        <v>5</v>
      </c>
      <c r="C8" s="80">
        <v>23957</v>
      </c>
      <c r="D8" s="82" t="s">
        <v>169</v>
      </c>
      <c r="E8" s="83">
        <v>2</v>
      </c>
      <c r="F8" s="80">
        <f t="shared" si="0"/>
        <v>24</v>
      </c>
      <c r="G8" s="84">
        <f>'5-SERVENTE COPEIRA 12X36 DIA'!C96</f>
        <v>6562.76</v>
      </c>
      <c r="H8" s="84">
        <f t="shared" ref="H8:H9" si="2">G8*E8</f>
        <v>13125.52</v>
      </c>
      <c r="I8" s="84">
        <f t="shared" si="1"/>
        <v>157506.23999999999</v>
      </c>
    </row>
    <row r="9" spans="1:9" ht="41.4" x14ac:dyDescent="0.3">
      <c r="A9" s="97"/>
      <c r="B9" s="80">
        <v>6</v>
      </c>
      <c r="C9" s="80">
        <v>23958</v>
      </c>
      <c r="D9" s="82" t="s">
        <v>170</v>
      </c>
      <c r="E9" s="83">
        <v>2</v>
      </c>
      <c r="F9" s="80">
        <f t="shared" si="0"/>
        <v>24</v>
      </c>
      <c r="G9" s="84">
        <f>'6-SERVENTE COPEIRA 12X36 NOITE'!C98</f>
        <v>7210.17</v>
      </c>
      <c r="H9" s="84">
        <f t="shared" si="2"/>
        <v>14420.34</v>
      </c>
      <c r="I9" s="84">
        <f t="shared" si="1"/>
        <v>173044.08</v>
      </c>
    </row>
    <row r="10" spans="1:9" x14ac:dyDescent="0.3">
      <c r="A10" s="98" t="s">
        <v>171</v>
      </c>
      <c r="B10" s="99"/>
      <c r="C10" s="99"/>
      <c r="D10" s="99"/>
      <c r="E10" s="99"/>
      <c r="F10" s="99"/>
      <c r="G10" s="100"/>
      <c r="H10" s="88">
        <f>SUM(H4:H9)</f>
        <v>104860.26</v>
      </c>
      <c r="I10" s="88">
        <f>SUM(I4:I9)</f>
        <v>1258323.1200000001</v>
      </c>
    </row>
    <row r="13" spans="1:9" ht="15.6" x14ac:dyDescent="0.3">
      <c r="A13" s="93" t="s">
        <v>178</v>
      </c>
      <c r="B13" s="93"/>
      <c r="C13" s="93"/>
      <c r="D13" s="93"/>
      <c r="E13" s="93"/>
      <c r="F13" s="93"/>
      <c r="G13" s="93"/>
      <c r="H13" s="93"/>
      <c r="I13" s="93"/>
    </row>
    <row r="14" spans="1:9" x14ac:dyDescent="0.3">
      <c r="D14" s="89"/>
      <c r="E14" s="90"/>
      <c r="F14" s="89"/>
      <c r="G14" s="89"/>
      <c r="H14" s="91"/>
      <c r="I14" s="91"/>
    </row>
    <row r="15" spans="1:9" x14ac:dyDescent="0.3">
      <c r="D15" s="89"/>
      <c r="H15" s="91"/>
      <c r="I15" s="91"/>
    </row>
    <row r="16" spans="1:9" ht="15.6" x14ac:dyDescent="0.3">
      <c r="A16" s="94" t="s">
        <v>177</v>
      </c>
      <c r="B16" s="94"/>
      <c r="C16" s="94"/>
      <c r="D16" s="94"/>
      <c r="E16" s="94"/>
      <c r="F16" s="94"/>
      <c r="G16" s="94"/>
      <c r="H16" s="94"/>
      <c r="I16" s="94"/>
    </row>
    <row r="17" spans="1:9" ht="15.6" x14ac:dyDescent="0.3">
      <c r="A17" s="94" t="s">
        <v>172</v>
      </c>
      <c r="B17" s="94"/>
      <c r="C17" s="94"/>
      <c r="D17" s="94"/>
      <c r="E17" s="94"/>
      <c r="F17" s="94"/>
      <c r="G17" s="94"/>
      <c r="H17" s="94"/>
      <c r="I17" s="94"/>
    </row>
    <row r="18" spans="1:9" x14ac:dyDescent="0.3">
      <c r="E18" s="92"/>
      <c r="F18" s="91"/>
      <c r="G18" s="91"/>
      <c r="H18" s="91"/>
      <c r="I18" s="91"/>
    </row>
    <row r="19" spans="1:9" x14ac:dyDescent="0.3">
      <c r="D19" s="92"/>
      <c r="E19" s="92"/>
      <c r="F19" s="91"/>
      <c r="G19" s="91"/>
      <c r="H19" s="91"/>
      <c r="I19" s="91"/>
    </row>
  </sheetData>
  <mergeCells count="6">
    <mergeCell ref="A13:I13"/>
    <mergeCell ref="A16:I16"/>
    <mergeCell ref="A17:I17"/>
    <mergeCell ref="A1:I2"/>
    <mergeCell ref="A4:A9"/>
    <mergeCell ref="A10:G10"/>
  </mergeCells>
  <pageMargins left="0.511811024" right="0.511811024" top="0.78740157499999996" bottom="0.78740157499999996" header="0.31496062000000002" footer="0.31496062000000002"/>
  <pageSetup paperSize="9" scale="84" fitToHeight="0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5F2-DF0B-4D94-8168-2B281A6FDE92}">
  <sheetPr>
    <pageSetUpPr fitToPage="1"/>
  </sheetPr>
  <dimension ref="A1:S98"/>
  <sheetViews>
    <sheetView topLeftCell="A70" workbookViewId="0">
      <selection activeCell="E97" sqref="E97:F97"/>
    </sheetView>
  </sheetViews>
  <sheetFormatPr defaultColWidth="8.88671875" defaultRowHeight="12" x14ac:dyDescent="0.3"/>
  <cols>
    <col min="1" max="1" width="45.109375" style="1" customWidth="1"/>
    <col min="2" max="3" width="12" style="1" customWidth="1"/>
    <col min="4" max="4" width="14" style="1" customWidth="1"/>
    <col min="5" max="5" width="13.109375" style="1" customWidth="1"/>
    <col min="6" max="6" width="15.109375" style="1" customWidth="1"/>
    <col min="7" max="7" width="15" style="1" customWidth="1"/>
    <col min="8" max="9" width="9.109375" style="1" bestFit="1" customWidth="1"/>
    <col min="10" max="12" width="8.88671875" style="1"/>
    <col min="13" max="13" width="10" style="1" bestFit="1" customWidth="1"/>
    <col min="14" max="16384" width="8.88671875" style="1"/>
  </cols>
  <sheetData>
    <row r="1" spans="1:16" ht="27.75" customHeight="1" x14ac:dyDescent="0.3">
      <c r="A1" s="107" t="s">
        <v>110</v>
      </c>
      <c r="B1" s="108"/>
      <c r="C1" s="108"/>
      <c r="D1" s="108"/>
      <c r="E1" s="109"/>
    </row>
    <row r="2" spans="1:16" ht="27.75" customHeight="1" x14ac:dyDescent="0.3">
      <c r="A2" s="107" t="s">
        <v>111</v>
      </c>
      <c r="B2" s="108"/>
      <c r="C2" s="108"/>
      <c r="D2" s="108"/>
      <c r="E2" s="109"/>
    </row>
    <row r="3" spans="1:16" x14ac:dyDescent="0.3">
      <c r="A3" s="110" t="s">
        <v>23</v>
      </c>
      <c r="B3" s="110"/>
      <c r="C3" s="110"/>
      <c r="D3" s="110"/>
      <c r="E3" s="110"/>
    </row>
    <row r="4" spans="1:16" ht="24" x14ac:dyDescent="0.3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</row>
    <row r="5" spans="1:16" ht="15" customHeight="1" x14ac:dyDescent="0.3">
      <c r="A5" s="4" t="s">
        <v>114</v>
      </c>
      <c r="B5" s="6">
        <f>1764/220*200</f>
        <v>1603.64</v>
      </c>
      <c r="C5" s="113">
        <v>1</v>
      </c>
      <c r="D5" s="114">
        <f>SUM(B5:B7)*C5</f>
        <v>2321.75</v>
      </c>
      <c r="E5" s="114">
        <f>D5*12</f>
        <v>27861</v>
      </c>
    </row>
    <row r="6" spans="1:16" x14ac:dyDescent="0.3">
      <c r="A6" s="4" t="s">
        <v>112</v>
      </c>
      <c r="B6" s="6">
        <f>122/220*200</f>
        <v>110.91</v>
      </c>
      <c r="C6" s="113"/>
      <c r="D6" s="114"/>
      <c r="E6" s="114"/>
    </row>
    <row r="7" spans="1:16" x14ac:dyDescent="0.3">
      <c r="A7" s="65" t="s">
        <v>173</v>
      </c>
      <c r="B7" s="6">
        <f>1518*40%</f>
        <v>607.20000000000005</v>
      </c>
      <c r="C7" s="113"/>
      <c r="D7" s="114"/>
      <c r="E7" s="114"/>
    </row>
    <row r="8" spans="1:16" x14ac:dyDescent="0.3">
      <c r="A8" s="111"/>
      <c r="B8" s="112"/>
      <c r="C8" s="112"/>
      <c r="D8" s="112"/>
      <c r="E8" s="53"/>
    </row>
    <row r="9" spans="1:16" ht="15.75" customHeight="1" x14ac:dyDescent="0.3">
      <c r="A9" s="8" t="s">
        <v>13</v>
      </c>
      <c r="B9" s="15" t="s">
        <v>1</v>
      </c>
      <c r="C9" s="15" t="s">
        <v>12</v>
      </c>
      <c r="D9" s="15" t="s">
        <v>2</v>
      </c>
      <c r="E9" s="40"/>
    </row>
    <row r="10" spans="1:16" ht="13.8" x14ac:dyDescent="0.3">
      <c r="A10" s="4" t="s">
        <v>20</v>
      </c>
      <c r="B10" s="5">
        <v>8.3299999999999999E-2</v>
      </c>
      <c r="C10" s="6">
        <f>B10*$D$5</f>
        <v>193.4</v>
      </c>
      <c r="D10" s="6">
        <f>B10*$E$5</f>
        <v>2320.8200000000002</v>
      </c>
      <c r="E10" s="5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36" x14ac:dyDescent="0.3">
      <c r="A11" s="4" t="s">
        <v>102</v>
      </c>
      <c r="B11" s="5">
        <v>2.7799999999999998E-2</v>
      </c>
      <c r="C11" s="6">
        <f>B11*$D$5</f>
        <v>64.540000000000006</v>
      </c>
      <c r="D11" s="6">
        <f>B11*$E$5</f>
        <v>774.54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x14ac:dyDescent="0.3">
      <c r="A12" s="15" t="s">
        <v>14</v>
      </c>
      <c r="B12" s="16">
        <f>SUM(B10:B11)</f>
        <v>0.1111</v>
      </c>
      <c r="C12" s="17">
        <f>SUM(C10:C11)</f>
        <v>257.94</v>
      </c>
      <c r="D12" s="17">
        <f>C12*12</f>
        <v>3095.28</v>
      </c>
      <c r="E12" s="40"/>
      <c r="F12" s="40"/>
    </row>
    <row r="13" spans="1:16" x14ac:dyDescent="0.3">
      <c r="A13" s="52"/>
      <c r="B13" s="52"/>
      <c r="C13" s="52"/>
      <c r="D13" s="55"/>
      <c r="E13" s="53"/>
      <c r="F13" s="53"/>
    </row>
    <row r="14" spans="1:16" ht="12.75" customHeight="1" x14ac:dyDescent="0.3">
      <c r="A14" s="8" t="s">
        <v>15</v>
      </c>
      <c r="B14" s="15" t="s">
        <v>1</v>
      </c>
      <c r="C14" s="15" t="s">
        <v>12</v>
      </c>
      <c r="D14" s="15" t="s">
        <v>2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ht="13.8" x14ac:dyDescent="0.3">
      <c r="A15" s="4" t="s">
        <v>21</v>
      </c>
      <c r="B15" s="5">
        <v>0.2</v>
      </c>
      <c r="C15" s="6">
        <f t="shared" ref="C15:C22" si="0">B15*$D$5</f>
        <v>464.35</v>
      </c>
      <c r="D15" s="6">
        <f t="shared" ref="D15:D22" si="1">B15*$E$5</f>
        <v>5572.2</v>
      </c>
      <c r="E15" s="54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2.75" customHeight="1" x14ac:dyDescent="0.3">
      <c r="A16" s="4" t="s">
        <v>57</v>
      </c>
      <c r="B16" s="5">
        <v>2.5000000000000001E-2</v>
      </c>
      <c r="C16" s="6">
        <f t="shared" si="0"/>
        <v>58.04</v>
      </c>
      <c r="D16" s="6">
        <f t="shared" si="1"/>
        <v>696.53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9" ht="13.8" x14ac:dyDescent="0.3">
      <c r="A17" s="4" t="s">
        <v>58</v>
      </c>
      <c r="B17" s="5">
        <v>0.03</v>
      </c>
      <c r="C17" s="6">
        <f t="shared" si="0"/>
        <v>69.650000000000006</v>
      </c>
      <c r="D17" s="6">
        <f t="shared" si="1"/>
        <v>835.83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9" ht="13.8" x14ac:dyDescent="0.3">
      <c r="A18" s="4" t="s">
        <v>59</v>
      </c>
      <c r="B18" s="5">
        <v>1.4999999999999999E-2</v>
      </c>
      <c r="C18" s="6">
        <f t="shared" si="0"/>
        <v>34.83</v>
      </c>
      <c r="D18" s="6">
        <f t="shared" si="1"/>
        <v>417.92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9" ht="13.8" x14ac:dyDescent="0.3">
      <c r="A19" s="4" t="s">
        <v>60</v>
      </c>
      <c r="B19" s="5">
        <v>0.01</v>
      </c>
      <c r="C19" s="6">
        <f t="shared" si="0"/>
        <v>23.22</v>
      </c>
      <c r="D19" s="6">
        <f t="shared" si="1"/>
        <v>278.61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9" ht="12.75" customHeight="1" x14ac:dyDescent="0.3">
      <c r="A20" s="4" t="s">
        <v>61</v>
      </c>
      <c r="B20" s="5">
        <v>6.0000000000000001E-3</v>
      </c>
      <c r="C20" s="6">
        <f t="shared" si="0"/>
        <v>13.93</v>
      </c>
      <c r="D20" s="6">
        <f t="shared" si="1"/>
        <v>167.17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9" ht="12.75" customHeight="1" x14ac:dyDescent="0.3">
      <c r="A21" s="4" t="s">
        <v>62</v>
      </c>
      <c r="B21" s="5">
        <v>2E-3</v>
      </c>
      <c r="C21" s="6">
        <f t="shared" si="0"/>
        <v>4.6399999999999997</v>
      </c>
      <c r="D21" s="6">
        <f t="shared" si="1"/>
        <v>55.72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9" ht="12.75" customHeight="1" x14ac:dyDescent="0.3">
      <c r="A22" s="4" t="s">
        <v>63</v>
      </c>
      <c r="B22" s="5">
        <v>0.08</v>
      </c>
      <c r="C22" s="6">
        <f t="shared" si="0"/>
        <v>185.74</v>
      </c>
      <c r="D22" s="6">
        <f t="shared" si="1"/>
        <v>2228.88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9" x14ac:dyDescent="0.3">
      <c r="A23" s="15" t="s">
        <v>16</v>
      </c>
      <c r="B23" s="16">
        <f>SUM(B15:B22)</f>
        <v>0.36799999999999999</v>
      </c>
      <c r="C23" s="17">
        <f>SUM(C15:C22)</f>
        <v>854.4</v>
      </c>
      <c r="D23" s="17">
        <f>C23*12</f>
        <v>10252.799999999999</v>
      </c>
      <c r="E23" s="40"/>
      <c r="F23" s="40"/>
    </row>
    <row r="24" spans="1:19" x14ac:dyDescent="0.3">
      <c r="A24" s="53"/>
      <c r="B24" s="53"/>
      <c r="C24" s="53"/>
      <c r="D24" s="53"/>
      <c r="E24" s="53"/>
      <c r="F24" s="53"/>
    </row>
    <row r="25" spans="1:19" ht="21.75" customHeight="1" x14ac:dyDescent="0.3">
      <c r="A25" s="8" t="s">
        <v>94</v>
      </c>
      <c r="B25" s="15" t="s">
        <v>22</v>
      </c>
      <c r="C25" s="15" t="s">
        <v>12</v>
      </c>
      <c r="D25" s="15" t="s">
        <v>2</v>
      </c>
      <c r="E25" s="41"/>
    </row>
    <row r="26" spans="1:19" ht="24" x14ac:dyDescent="0.3">
      <c r="A26" s="4" t="s">
        <v>93</v>
      </c>
      <c r="B26" s="60">
        <f>(3.8*24*2)-B5*0.06</f>
        <v>86.18</v>
      </c>
      <c r="C26" s="6">
        <f t="shared" ref="C26:C27" si="2">B26*(SUM($C$5:$C$5))</f>
        <v>86.18</v>
      </c>
      <c r="D26" s="6">
        <f>C26*12</f>
        <v>1034.1600000000001</v>
      </c>
      <c r="E26" s="41"/>
    </row>
    <row r="27" spans="1:19" ht="13.8" x14ac:dyDescent="0.3">
      <c r="A27" s="4" t="s">
        <v>17</v>
      </c>
      <c r="B27" s="60">
        <f>805*80%</f>
        <v>644</v>
      </c>
      <c r="C27" s="6">
        <f t="shared" si="2"/>
        <v>644</v>
      </c>
      <c r="D27" s="6">
        <f t="shared" ref="D27:D30" si="3">C27*12</f>
        <v>7728</v>
      </c>
      <c r="E27" s="41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9" ht="13.8" x14ac:dyDescent="0.3">
      <c r="A28" s="4" t="s">
        <v>18</v>
      </c>
      <c r="B28" s="60">
        <v>87.5</v>
      </c>
      <c r="C28" s="6">
        <v>87.5</v>
      </c>
      <c r="D28" s="6">
        <f t="shared" si="3"/>
        <v>1050</v>
      </c>
      <c r="E28" s="41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9" ht="13.8" x14ac:dyDescent="0.3">
      <c r="A29" s="4" t="s">
        <v>19</v>
      </c>
      <c r="B29" s="60">
        <v>28</v>
      </c>
      <c r="C29" s="6">
        <v>28</v>
      </c>
      <c r="D29" s="6">
        <f t="shared" si="3"/>
        <v>336</v>
      </c>
      <c r="E29" s="41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9" ht="13.8" x14ac:dyDescent="0.3">
      <c r="A30" s="61" t="s">
        <v>91</v>
      </c>
      <c r="B30" s="62">
        <v>28</v>
      </c>
      <c r="C30" s="63">
        <v>28</v>
      </c>
      <c r="D30" s="64">
        <f t="shared" si="3"/>
        <v>336</v>
      </c>
      <c r="E30" s="41"/>
      <c r="F30" s="40"/>
      <c r="G30" s="36"/>
      <c r="H30" s="36"/>
      <c r="I30" s="38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19" ht="13.8" x14ac:dyDescent="0.3">
      <c r="A31" s="65" t="s">
        <v>88</v>
      </c>
      <c r="B31" s="66">
        <f>(805*80%)</f>
        <v>644</v>
      </c>
      <c r="C31" s="69">
        <f>B31/12</f>
        <v>53.667000000000002</v>
      </c>
      <c r="D31" s="63">
        <f>C31*12</f>
        <v>644</v>
      </c>
      <c r="E31" s="41"/>
      <c r="F31" s="40"/>
      <c r="G31" s="36"/>
      <c r="H31" s="36"/>
      <c r="I31" s="38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ht="14.25" customHeight="1" x14ac:dyDescent="0.3">
      <c r="A32" s="67" t="s">
        <v>89</v>
      </c>
      <c r="B32" s="68">
        <f>SUM(B26:B31)</f>
        <v>1517.68</v>
      </c>
      <c r="C32" s="68">
        <f>SUM(C26:C31)</f>
        <v>927.35</v>
      </c>
      <c r="D32" s="68">
        <f>C32*12</f>
        <v>11128.2</v>
      </c>
      <c r="E32" s="40"/>
      <c r="F32" s="40"/>
    </row>
    <row r="33" spans="1:17" s="12" customFormat="1" ht="25.5" customHeight="1" x14ac:dyDescent="0.3">
      <c r="A33" s="105" t="s">
        <v>4</v>
      </c>
      <c r="B33" s="106"/>
      <c r="C33" s="48">
        <f>D5+C12+C23+C32</f>
        <v>4361.4399999999996</v>
      </c>
      <c r="D33" s="48">
        <f>SUM(E5+D12+D23+D32)</f>
        <v>52337.279999999999</v>
      </c>
      <c r="E33" s="40"/>
      <c r="F33" s="40"/>
    </row>
    <row r="34" spans="1:17" x14ac:dyDescent="0.3">
      <c r="A34" s="40"/>
      <c r="B34" s="40"/>
      <c r="C34" s="40"/>
      <c r="D34" s="40"/>
      <c r="E34" s="40"/>
      <c r="F34" s="40"/>
    </row>
    <row r="35" spans="1:17" ht="12" customHeight="1" x14ac:dyDescent="0.3">
      <c r="A35" s="115" t="s">
        <v>31</v>
      </c>
      <c r="B35" s="115"/>
      <c r="C35" s="115"/>
      <c r="D35" s="115"/>
      <c r="E35" s="40"/>
      <c r="F35" s="40"/>
    </row>
    <row r="36" spans="1:17" x14ac:dyDescent="0.3">
      <c r="A36" s="18" t="s">
        <v>30</v>
      </c>
      <c r="B36" s="19" t="s">
        <v>1</v>
      </c>
      <c r="C36" s="19" t="s">
        <v>12</v>
      </c>
      <c r="D36" s="19" t="s">
        <v>2</v>
      </c>
      <c r="E36" s="40"/>
      <c r="F36" s="40"/>
    </row>
    <row r="37" spans="1:17" ht="13.8" x14ac:dyDescent="0.3">
      <c r="A37" s="10" t="s">
        <v>24</v>
      </c>
      <c r="B37" s="13">
        <v>4.1999999999999997E-3</v>
      </c>
      <c r="C37" s="11">
        <f t="shared" ref="C37:C42" si="4">B37*$D$5</f>
        <v>9.75</v>
      </c>
      <c r="D37" s="11">
        <f t="shared" ref="D37:D42" si="5">B37*$E$5</f>
        <v>117.02</v>
      </c>
      <c r="E37" s="37"/>
    </row>
    <row r="38" spans="1:17" ht="13.8" x14ac:dyDescent="0.3">
      <c r="A38" s="10" t="s">
        <v>25</v>
      </c>
      <c r="B38" s="14">
        <v>3.3E-4</v>
      </c>
      <c r="C38" s="11">
        <f t="shared" si="4"/>
        <v>0.77</v>
      </c>
      <c r="D38" s="11">
        <f t="shared" si="5"/>
        <v>9.19</v>
      </c>
      <c r="E38" s="37"/>
    </row>
    <row r="39" spans="1:17" ht="13.8" x14ac:dyDescent="0.3">
      <c r="A39" s="10" t="s">
        <v>26</v>
      </c>
      <c r="B39" s="14">
        <v>1.6000000000000001E-4</v>
      </c>
      <c r="C39" s="11">
        <f t="shared" si="4"/>
        <v>0.37</v>
      </c>
      <c r="D39" s="11">
        <f t="shared" si="5"/>
        <v>4.46</v>
      </c>
      <c r="E39" s="37"/>
    </row>
    <row r="40" spans="1:17" ht="13.8" x14ac:dyDescent="0.3">
      <c r="A40" s="10" t="s">
        <v>27</v>
      </c>
      <c r="B40" s="13">
        <v>1.9400000000000001E-2</v>
      </c>
      <c r="C40" s="11">
        <f t="shared" si="4"/>
        <v>45.04</v>
      </c>
      <c r="D40" s="11">
        <f t="shared" si="5"/>
        <v>540.5</v>
      </c>
      <c r="E40" s="37"/>
    </row>
    <row r="41" spans="1:17" ht="13.8" x14ac:dyDescent="0.3">
      <c r="A41" s="10" t="s">
        <v>28</v>
      </c>
      <c r="B41" s="13">
        <f>B40*B23</f>
        <v>7.1000000000000004E-3</v>
      </c>
      <c r="C41" s="11">
        <f t="shared" si="4"/>
        <v>16.48</v>
      </c>
      <c r="D41" s="11">
        <f t="shared" si="5"/>
        <v>197.81</v>
      </c>
      <c r="E41" s="37"/>
    </row>
    <row r="42" spans="1:17" ht="13.8" x14ac:dyDescent="0.3">
      <c r="A42" s="10" t="s">
        <v>29</v>
      </c>
      <c r="B42" s="14">
        <v>7.6999999999999996E-4</v>
      </c>
      <c r="C42" s="11">
        <f t="shared" si="4"/>
        <v>1.79</v>
      </c>
      <c r="D42" s="11">
        <f t="shared" si="5"/>
        <v>21.45</v>
      </c>
      <c r="E42" s="37"/>
    </row>
    <row r="43" spans="1:17" ht="15.75" customHeight="1" x14ac:dyDescent="0.3">
      <c r="A43" s="19" t="s">
        <v>38</v>
      </c>
      <c r="B43" s="20">
        <f>SUM(B37:B42)</f>
        <v>3.2000000000000001E-2</v>
      </c>
      <c r="C43" s="21">
        <f>SUM(C37:C42)</f>
        <v>74.2</v>
      </c>
      <c r="D43" s="21">
        <f>C43*12</f>
        <v>890.4</v>
      </c>
      <c r="E43" s="40"/>
      <c r="F43" s="40"/>
    </row>
    <row r="44" spans="1:17" s="12" customFormat="1" ht="15.75" customHeight="1" x14ac:dyDescent="0.3">
      <c r="A44" s="49"/>
      <c r="B44" s="50"/>
      <c r="C44" s="50"/>
      <c r="D44" s="50"/>
      <c r="E44" s="40"/>
      <c r="F44" s="40"/>
    </row>
    <row r="45" spans="1:17" ht="14.25" customHeight="1" x14ac:dyDescent="0.3">
      <c r="A45" s="18" t="s">
        <v>32</v>
      </c>
      <c r="B45" s="19" t="s">
        <v>1</v>
      </c>
      <c r="C45" s="19" t="s">
        <v>12</v>
      </c>
      <c r="D45" s="19" t="s">
        <v>2</v>
      </c>
      <c r="E45" s="39"/>
      <c r="F45" s="39"/>
    </row>
    <row r="46" spans="1:17" ht="13.8" x14ac:dyDescent="0.3">
      <c r="A46" s="10" t="s">
        <v>33</v>
      </c>
      <c r="B46" s="13">
        <v>8.3299999999999999E-2</v>
      </c>
      <c r="C46" s="11">
        <f>B46*$D$5</f>
        <v>193.4</v>
      </c>
      <c r="D46" s="11">
        <f>B46*$E$5</f>
        <v>2320.8200000000002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2.75" customHeight="1" x14ac:dyDescent="0.3">
      <c r="A47" s="10" t="s">
        <v>34</v>
      </c>
      <c r="B47" s="13">
        <v>8.0000000000000004E-4</v>
      </c>
      <c r="C47" s="11">
        <f>B47*$D$5</f>
        <v>1.86</v>
      </c>
      <c r="D47" s="11">
        <f>B47*$E$5</f>
        <v>22.29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24" x14ac:dyDescent="0.3">
      <c r="A48" s="10" t="s">
        <v>35</v>
      </c>
      <c r="B48" s="13">
        <v>2.9999999999999997E-4</v>
      </c>
      <c r="C48" s="11">
        <f>B48*$D$5</f>
        <v>0.7</v>
      </c>
      <c r="D48" s="11">
        <f>B48*$E$5</f>
        <v>8.36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ht="13.8" x14ac:dyDescent="0.3">
      <c r="A49" s="10" t="s">
        <v>36</v>
      </c>
      <c r="B49" s="13">
        <v>1.2999999999999999E-3</v>
      </c>
      <c r="C49" s="11">
        <f>B49*$D$5</f>
        <v>3.02</v>
      </c>
      <c r="D49" s="11">
        <f>B49*$E$5</f>
        <v>36.22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ht="13.8" x14ac:dyDescent="0.3">
      <c r="A50" s="10" t="s">
        <v>37</v>
      </c>
      <c r="B50" s="13">
        <v>8.2000000000000007E-3</v>
      </c>
      <c r="C50" s="11">
        <f>B50*$D$5</f>
        <v>19.04</v>
      </c>
      <c r="D50" s="11">
        <f>B50*$E$5</f>
        <v>228.46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x14ac:dyDescent="0.3">
      <c r="A51" s="19" t="s">
        <v>39</v>
      </c>
      <c r="B51" s="20">
        <f>SUM(B46:B50)</f>
        <v>9.3899999999999997E-2</v>
      </c>
      <c r="C51" s="21">
        <f>SUM(C46:C50)</f>
        <v>218.02</v>
      </c>
      <c r="D51" s="21">
        <f>C51*12</f>
        <v>2616.2399999999998</v>
      </c>
      <c r="E51" s="39"/>
      <c r="F51" s="39"/>
    </row>
    <row r="52" spans="1:17" ht="24" customHeight="1" x14ac:dyDescent="0.3">
      <c r="A52" s="116" t="s">
        <v>40</v>
      </c>
      <c r="B52" s="117"/>
      <c r="C52" s="46">
        <f>SUM(C43+C51)</f>
        <v>292.22000000000003</v>
      </c>
      <c r="D52" s="47">
        <f>SUM(D43+D51)</f>
        <v>3506.64</v>
      </c>
      <c r="E52" s="39"/>
      <c r="F52" s="39"/>
    </row>
    <row r="53" spans="1:17" x14ac:dyDescent="0.3">
      <c r="A53" s="49"/>
      <c r="B53" s="50"/>
      <c r="C53" s="50"/>
      <c r="D53" s="50"/>
      <c r="E53" s="51"/>
      <c r="F53" s="51"/>
    </row>
    <row r="54" spans="1:17" ht="14.4" customHeight="1" x14ac:dyDescent="0.3">
      <c r="A54" s="118" t="s">
        <v>115</v>
      </c>
      <c r="B54" s="119"/>
      <c r="C54" s="119"/>
      <c r="D54" s="119"/>
      <c r="E54" s="119"/>
      <c r="F54" s="120"/>
      <c r="G54" s="37"/>
    </row>
    <row r="55" spans="1:17" ht="24" x14ac:dyDescent="0.3">
      <c r="A55" s="22" t="s">
        <v>116</v>
      </c>
      <c r="B55" s="23" t="s">
        <v>90</v>
      </c>
      <c r="C55" s="23" t="s">
        <v>104</v>
      </c>
      <c r="D55" s="23" t="s">
        <v>0</v>
      </c>
      <c r="E55" s="23" t="s">
        <v>12</v>
      </c>
      <c r="F55" s="23" t="s">
        <v>2</v>
      </c>
    </row>
    <row r="56" spans="1:17" x14ac:dyDescent="0.3">
      <c r="A56" s="121" t="s">
        <v>95</v>
      </c>
      <c r="B56" s="122"/>
      <c r="C56" s="122"/>
      <c r="D56" s="122"/>
      <c r="E56" s="122"/>
      <c r="F56" s="123"/>
    </row>
    <row r="57" spans="1:17" x14ac:dyDescent="0.3">
      <c r="A57" s="9" t="s">
        <v>117</v>
      </c>
      <c r="B57" s="2">
        <v>2</v>
      </c>
      <c r="C57" s="45">
        <f>B57*$C$5</f>
        <v>2</v>
      </c>
      <c r="D57" s="58">
        <v>49.1</v>
      </c>
      <c r="E57" s="3">
        <f>D57*C57/12</f>
        <v>8.18</v>
      </c>
      <c r="F57" s="3">
        <f>D57*C57</f>
        <v>98.2</v>
      </c>
      <c r="G57" s="42"/>
    </row>
    <row r="58" spans="1:17" x14ac:dyDescent="0.3">
      <c r="A58" s="9" t="s">
        <v>118</v>
      </c>
      <c r="B58" s="2">
        <v>2</v>
      </c>
      <c r="C58" s="45">
        <f t="shared" ref="C58:C64" si="6">B58*$C$5</f>
        <v>2</v>
      </c>
      <c r="D58" s="58">
        <v>19.899999999999999</v>
      </c>
      <c r="E58" s="3">
        <f>D58*C58/12</f>
        <v>3.32</v>
      </c>
      <c r="F58" s="3">
        <f t="shared" ref="F58:F64" si="7">D58*C58</f>
        <v>39.799999999999997</v>
      </c>
    </row>
    <row r="59" spans="1:17" x14ac:dyDescent="0.3">
      <c r="A59" s="9" t="s">
        <v>119</v>
      </c>
      <c r="B59" s="2">
        <v>2</v>
      </c>
      <c r="C59" s="45">
        <f t="shared" si="6"/>
        <v>2</v>
      </c>
      <c r="D59" s="58">
        <v>65.38</v>
      </c>
      <c r="E59" s="3">
        <f t="shared" ref="E59:E64" si="8">D59*C59/12</f>
        <v>10.9</v>
      </c>
      <c r="F59" s="3">
        <f t="shared" si="7"/>
        <v>130.76</v>
      </c>
    </row>
    <row r="60" spans="1:17" x14ac:dyDescent="0.3">
      <c r="A60" s="9" t="s">
        <v>120</v>
      </c>
      <c r="B60" s="2">
        <v>2</v>
      </c>
      <c r="C60" s="45">
        <f t="shared" si="6"/>
        <v>2</v>
      </c>
      <c r="D60" s="58">
        <v>27.85</v>
      </c>
      <c r="E60" s="3">
        <f t="shared" si="8"/>
        <v>4.6399999999999997</v>
      </c>
      <c r="F60" s="3">
        <f t="shared" si="7"/>
        <v>55.7</v>
      </c>
    </row>
    <row r="61" spans="1:17" x14ac:dyDescent="0.3">
      <c r="A61" s="9" t="s">
        <v>121</v>
      </c>
      <c r="B61" s="2">
        <v>24</v>
      </c>
      <c r="C61" s="45">
        <f t="shared" si="6"/>
        <v>24</v>
      </c>
      <c r="D61" s="58">
        <v>12.9</v>
      </c>
      <c r="E61" s="3">
        <f t="shared" si="8"/>
        <v>25.8</v>
      </c>
      <c r="F61" s="3">
        <f t="shared" si="7"/>
        <v>309.60000000000002</v>
      </c>
    </row>
    <row r="62" spans="1:17" x14ac:dyDescent="0.3">
      <c r="A62" s="9" t="s">
        <v>122</v>
      </c>
      <c r="B62" s="2">
        <v>2</v>
      </c>
      <c r="C62" s="45">
        <f t="shared" si="6"/>
        <v>2</v>
      </c>
      <c r="D62" s="59">
        <v>73</v>
      </c>
      <c r="E62" s="3">
        <f t="shared" si="8"/>
        <v>12.17</v>
      </c>
      <c r="F62" s="3">
        <f t="shared" si="7"/>
        <v>146</v>
      </c>
    </row>
    <row r="63" spans="1:17" x14ac:dyDescent="0.3">
      <c r="A63" s="9" t="s">
        <v>123</v>
      </c>
      <c r="B63" s="2">
        <v>1</v>
      </c>
      <c r="C63" s="45">
        <f t="shared" si="6"/>
        <v>1</v>
      </c>
      <c r="D63" s="58">
        <v>37.9</v>
      </c>
      <c r="E63" s="3">
        <f t="shared" si="8"/>
        <v>3.16</v>
      </c>
      <c r="F63" s="3">
        <f t="shared" si="7"/>
        <v>37.9</v>
      </c>
    </row>
    <row r="64" spans="1:17" x14ac:dyDescent="0.3">
      <c r="A64" s="9" t="s">
        <v>124</v>
      </c>
      <c r="B64" s="2">
        <v>2</v>
      </c>
      <c r="C64" s="45">
        <f t="shared" si="6"/>
        <v>2</v>
      </c>
      <c r="D64" s="58">
        <v>25.02</v>
      </c>
      <c r="E64" s="3">
        <f t="shared" si="8"/>
        <v>4.17</v>
      </c>
      <c r="F64" s="3">
        <f t="shared" si="7"/>
        <v>50.04</v>
      </c>
    </row>
    <row r="65" spans="1:7" x14ac:dyDescent="0.3">
      <c r="A65" s="124" t="s">
        <v>96</v>
      </c>
      <c r="B65" s="124"/>
      <c r="C65" s="57">
        <f>SUM(E57:E64)</f>
        <v>72.34</v>
      </c>
      <c r="D65" s="125" t="s">
        <v>3</v>
      </c>
      <c r="E65" s="125"/>
      <c r="F65" s="56">
        <f>C65*12</f>
        <v>868.08</v>
      </c>
    </row>
    <row r="66" spans="1:7" x14ac:dyDescent="0.3">
      <c r="A66" s="127"/>
      <c r="B66" s="127"/>
      <c r="C66" s="127"/>
      <c r="D66" s="127"/>
      <c r="E66" s="127"/>
      <c r="F66" s="127"/>
    </row>
    <row r="67" spans="1:7" ht="13.8" x14ac:dyDescent="0.3">
      <c r="A67" s="126" t="s">
        <v>97</v>
      </c>
      <c r="B67" s="126"/>
      <c r="C67" s="126"/>
      <c r="D67" s="126"/>
      <c r="E67" s="126"/>
      <c r="F67" s="126"/>
      <c r="G67" s="37"/>
    </row>
    <row r="68" spans="1:7" x14ac:dyDescent="0.3">
      <c r="A68" s="128" t="s">
        <v>41</v>
      </c>
      <c r="B68" s="128" t="s">
        <v>43</v>
      </c>
      <c r="C68" s="129" t="s">
        <v>12</v>
      </c>
      <c r="D68" s="129"/>
      <c r="E68" s="129" t="s">
        <v>2</v>
      </c>
      <c r="F68" s="129"/>
    </row>
    <row r="69" spans="1:7" ht="12" customHeight="1" x14ac:dyDescent="0.3">
      <c r="A69" s="130" t="s">
        <v>99</v>
      </c>
      <c r="B69" s="130"/>
      <c r="C69" s="131">
        <f>SUM(C33,C52)</f>
        <v>4653.66</v>
      </c>
      <c r="D69" s="131"/>
      <c r="E69" s="131">
        <f>C69*12</f>
        <v>55843.92</v>
      </c>
      <c r="F69" s="131"/>
    </row>
    <row r="70" spans="1:7" ht="12" customHeight="1" x14ac:dyDescent="0.3">
      <c r="A70" s="130"/>
      <c r="B70" s="130"/>
      <c r="C70" s="131"/>
      <c r="D70" s="131"/>
      <c r="E70" s="131"/>
      <c r="F70" s="131"/>
    </row>
    <row r="71" spans="1:7" ht="13.8" x14ac:dyDescent="0.3">
      <c r="A71" s="28" t="s">
        <v>52</v>
      </c>
      <c r="B71" s="35">
        <v>0.03</v>
      </c>
      <c r="C71" s="133">
        <f>C69*B71</f>
        <v>139.61000000000001</v>
      </c>
      <c r="D71" s="133"/>
      <c r="E71" s="133">
        <f>C71*12</f>
        <v>1675.32</v>
      </c>
      <c r="F71" s="133"/>
      <c r="G71" s="37"/>
    </row>
    <row r="72" spans="1:7" ht="12" customHeight="1" x14ac:dyDescent="0.3">
      <c r="A72" s="134" t="s">
        <v>100</v>
      </c>
      <c r="B72" s="134"/>
      <c r="C72" s="131">
        <f>C69+C71</f>
        <v>4793.2700000000004</v>
      </c>
      <c r="D72" s="131"/>
      <c r="E72" s="131">
        <f>E69+E71</f>
        <v>57519.24</v>
      </c>
      <c r="F72" s="131"/>
    </row>
    <row r="73" spans="1:7" ht="12" customHeight="1" x14ac:dyDescent="0.3">
      <c r="A73" s="134"/>
      <c r="B73" s="134"/>
      <c r="C73" s="131"/>
      <c r="D73" s="131"/>
      <c r="E73" s="131"/>
      <c r="F73" s="131"/>
    </row>
    <row r="74" spans="1:7" ht="13.8" x14ac:dyDescent="0.3">
      <c r="A74" s="28" t="s">
        <v>44</v>
      </c>
      <c r="B74" s="35">
        <v>6.7900000000000002E-2</v>
      </c>
      <c r="C74" s="133">
        <f>C72*B74</f>
        <v>325.45999999999998</v>
      </c>
      <c r="D74" s="133"/>
      <c r="E74" s="133">
        <f>C74*12</f>
        <v>3905.52</v>
      </c>
      <c r="F74" s="133"/>
      <c r="G74" s="37"/>
    </row>
    <row r="75" spans="1:7" x14ac:dyDescent="0.3">
      <c r="A75" s="135" t="s">
        <v>45</v>
      </c>
      <c r="B75" s="135"/>
      <c r="C75" s="135"/>
      <c r="D75" s="135"/>
      <c r="E75" s="29"/>
      <c r="F75" s="30"/>
    </row>
    <row r="76" spans="1:7" x14ac:dyDescent="0.3">
      <c r="A76" s="130" t="s">
        <v>46</v>
      </c>
      <c r="B76" s="130"/>
      <c r="C76" s="136">
        <f>C74+C71+C69</f>
        <v>5118.7299999999996</v>
      </c>
      <c r="D76" s="136"/>
      <c r="E76" s="136">
        <f>E74+E71+E69</f>
        <v>61424.76</v>
      </c>
      <c r="F76" s="136"/>
    </row>
    <row r="77" spans="1:7" ht="12.75" customHeight="1" x14ac:dyDescent="0.3">
      <c r="A77" s="137" t="s">
        <v>47</v>
      </c>
      <c r="B77" s="138"/>
      <c r="C77" s="138"/>
      <c r="D77" s="138"/>
      <c r="E77" s="138"/>
      <c r="F77" s="139"/>
    </row>
    <row r="78" spans="1:7" ht="13.8" x14ac:dyDescent="0.3">
      <c r="A78" s="31" t="s">
        <v>48</v>
      </c>
      <c r="B78" s="31"/>
      <c r="C78" s="132" t="s">
        <v>12</v>
      </c>
      <c r="D78" s="132"/>
      <c r="E78" s="132" t="s">
        <v>2</v>
      </c>
      <c r="F78" s="132"/>
      <c r="G78" s="37"/>
    </row>
    <row r="79" spans="1:7" ht="13.8" x14ac:dyDescent="0.3">
      <c r="A79" s="32" t="s">
        <v>49</v>
      </c>
      <c r="B79" s="35">
        <v>7.5999999999999998E-2</v>
      </c>
      <c r="C79" s="133">
        <f>($C$76)*B79/(1-($B$82))</f>
        <v>453.67</v>
      </c>
      <c r="D79" s="133"/>
      <c r="E79" s="133">
        <f>C79*12</f>
        <v>5444.04</v>
      </c>
      <c r="F79" s="133"/>
      <c r="G79" s="37"/>
    </row>
    <row r="80" spans="1:7" ht="13.8" x14ac:dyDescent="0.3">
      <c r="A80" s="32" t="s">
        <v>50</v>
      </c>
      <c r="B80" s="35">
        <v>1.6500000000000001E-2</v>
      </c>
      <c r="C80" s="133">
        <f t="shared" ref="C80:C81" si="9">($C$76)*B80/(1-($B$82))</f>
        <v>98.49</v>
      </c>
      <c r="D80" s="133"/>
      <c r="E80" s="133">
        <f t="shared" ref="E80:E81" si="10">C80*12</f>
        <v>1181.8800000000001</v>
      </c>
      <c r="F80" s="133"/>
      <c r="G80" s="37"/>
    </row>
    <row r="81" spans="1:11" ht="13.8" x14ac:dyDescent="0.3">
      <c r="A81" s="32" t="s">
        <v>53</v>
      </c>
      <c r="B81" s="35">
        <v>0.05</v>
      </c>
      <c r="C81" s="133">
        <f t="shared" si="9"/>
        <v>298.47000000000003</v>
      </c>
      <c r="D81" s="133"/>
      <c r="E81" s="133">
        <f t="shared" si="10"/>
        <v>3581.64</v>
      </c>
      <c r="F81" s="133"/>
      <c r="G81" s="37"/>
    </row>
    <row r="82" spans="1:11" x14ac:dyDescent="0.3">
      <c r="A82" s="33" t="s">
        <v>51</v>
      </c>
      <c r="B82" s="34">
        <f>SUM(B79:B81)</f>
        <v>0.14249999999999999</v>
      </c>
      <c r="C82" s="133">
        <f>SUM(C79:D81)</f>
        <v>850.63</v>
      </c>
      <c r="D82" s="133"/>
      <c r="E82" s="144">
        <f>SUM(E79:F81)</f>
        <v>10207.56</v>
      </c>
      <c r="F82" s="145"/>
    </row>
    <row r="83" spans="1:11" x14ac:dyDescent="0.3">
      <c r="A83" s="146" t="s">
        <v>98</v>
      </c>
      <c r="B83" s="146"/>
      <c r="C83" s="140">
        <f>C71+C74+C82</f>
        <v>1315.7</v>
      </c>
      <c r="D83" s="140"/>
      <c r="E83" s="140">
        <f>C83*12</f>
        <v>15788.4</v>
      </c>
      <c r="F83" s="140"/>
    </row>
    <row r="84" spans="1:11" x14ac:dyDescent="0.3">
      <c r="A84" s="141"/>
      <c r="B84" s="142"/>
      <c r="C84" s="142"/>
      <c r="D84" s="142"/>
      <c r="E84" s="142"/>
      <c r="F84" s="143"/>
    </row>
    <row r="85" spans="1:11" ht="14.4" customHeight="1" x14ac:dyDescent="0.3">
      <c r="A85" s="148" t="s">
        <v>54</v>
      </c>
      <c r="B85" s="151" t="s">
        <v>12</v>
      </c>
      <c r="C85" s="151"/>
      <c r="D85" s="152" t="s">
        <v>3</v>
      </c>
      <c r="E85" s="153"/>
      <c r="F85" s="154"/>
    </row>
    <row r="86" spans="1:11" x14ac:dyDescent="0.3">
      <c r="A86" s="149"/>
      <c r="B86" s="25" t="s">
        <v>5</v>
      </c>
      <c r="C86" s="26">
        <f>C33</f>
        <v>4361.4399999999996</v>
      </c>
      <c r="D86" s="25" t="s">
        <v>5</v>
      </c>
      <c r="E86" s="155">
        <f>D33</f>
        <v>52337.279999999999</v>
      </c>
      <c r="F86" s="156"/>
      <c r="G86" s="42"/>
      <c r="H86" s="43"/>
    </row>
    <row r="87" spans="1:11" x14ac:dyDescent="0.3">
      <c r="A87" s="149"/>
      <c r="B87" s="25" t="s">
        <v>6</v>
      </c>
      <c r="C87" s="26">
        <f>C52</f>
        <v>292.22000000000003</v>
      </c>
      <c r="D87" s="25" t="s">
        <v>6</v>
      </c>
      <c r="E87" s="155">
        <f>D52</f>
        <v>3506.64</v>
      </c>
      <c r="F87" s="156"/>
      <c r="G87" s="42"/>
      <c r="H87" s="43"/>
    </row>
    <row r="88" spans="1:11" x14ac:dyDescent="0.3">
      <c r="A88" s="149"/>
      <c r="B88" s="25" t="s">
        <v>7</v>
      </c>
      <c r="C88" s="26">
        <f>C65</f>
        <v>72.34</v>
      </c>
      <c r="D88" s="25" t="s">
        <v>7</v>
      </c>
      <c r="E88" s="155">
        <f>F65</f>
        <v>868.08</v>
      </c>
      <c r="F88" s="156"/>
      <c r="G88" s="42"/>
      <c r="H88" s="43"/>
    </row>
    <row r="89" spans="1:11" x14ac:dyDescent="0.3">
      <c r="A89" s="149"/>
      <c r="B89" s="25" t="s">
        <v>8</v>
      </c>
      <c r="C89" s="26">
        <f>C83</f>
        <v>1315.7</v>
      </c>
      <c r="D89" s="25" t="s">
        <v>8</v>
      </c>
      <c r="E89" s="155">
        <f>E83</f>
        <v>15788.4</v>
      </c>
      <c r="F89" s="156"/>
      <c r="G89" s="42"/>
      <c r="H89" s="43"/>
    </row>
    <row r="90" spans="1:11" x14ac:dyDescent="0.3">
      <c r="A90" s="150"/>
      <c r="B90" s="24" t="s">
        <v>12</v>
      </c>
      <c r="C90" s="27">
        <f>SUM(C86:C89)</f>
        <v>6041.7</v>
      </c>
      <c r="D90" s="24" t="s">
        <v>42</v>
      </c>
      <c r="E90" s="157">
        <f>SUM(E86:E89)</f>
        <v>72500.399999999994</v>
      </c>
      <c r="F90" s="158"/>
    </row>
    <row r="91" spans="1:11" ht="14.4" hidden="1" customHeight="1" x14ac:dyDescent="0.3">
      <c r="A91" s="147" t="s">
        <v>9</v>
      </c>
      <c r="B91" s="147"/>
      <c r="C91" s="147" t="s">
        <v>10</v>
      </c>
      <c r="D91" s="147"/>
      <c r="E91" s="147"/>
      <c r="F91" s="147"/>
    </row>
    <row r="92" spans="1:11" hidden="1" x14ac:dyDescent="0.3">
      <c r="A92" s="147"/>
      <c r="B92" s="147"/>
      <c r="C92" s="147"/>
      <c r="D92" s="147"/>
      <c r="E92" s="147"/>
      <c r="F92" s="147"/>
    </row>
    <row r="93" spans="1:11" ht="12" hidden="1" customHeight="1" x14ac:dyDescent="0.3">
      <c r="A93" s="147"/>
      <c r="B93" s="147"/>
      <c r="C93" s="147"/>
      <c r="D93" s="147"/>
      <c r="E93" s="147"/>
      <c r="F93" s="147"/>
    </row>
    <row r="94" spans="1:11" x14ac:dyDescent="0.3">
      <c r="K94" s="7"/>
    </row>
    <row r="96" spans="1:11" ht="17.399999999999999" x14ac:dyDescent="0.3">
      <c r="A96" s="102" t="s">
        <v>130</v>
      </c>
      <c r="B96" s="103"/>
      <c r="C96" s="103"/>
      <c r="D96" s="104"/>
      <c r="E96" s="102">
        <v>9</v>
      </c>
      <c r="F96" s="104"/>
    </row>
    <row r="97" spans="1:6" ht="17.399999999999999" x14ac:dyDescent="0.3">
      <c r="A97" s="102" t="s">
        <v>131</v>
      </c>
      <c r="B97" s="103"/>
      <c r="C97" s="103"/>
      <c r="D97" s="104"/>
      <c r="E97" s="101">
        <f>C90*E96</f>
        <v>54375.3</v>
      </c>
      <c r="F97" s="101"/>
    </row>
    <row r="98" spans="1:6" ht="17.399999999999999" x14ac:dyDescent="0.3">
      <c r="A98" s="102" t="s">
        <v>132</v>
      </c>
      <c r="B98" s="103"/>
      <c r="C98" s="103"/>
      <c r="D98" s="104"/>
      <c r="E98" s="101">
        <f>E97*12</f>
        <v>652503.6</v>
      </c>
      <c r="F98" s="101"/>
    </row>
  </sheetData>
  <mergeCells count="64">
    <mergeCell ref="A91:B93"/>
    <mergeCell ref="C91:F93"/>
    <mergeCell ref="A85:A90"/>
    <mergeCell ref="B85:C85"/>
    <mergeCell ref="D85:F85"/>
    <mergeCell ref="E86:F86"/>
    <mergeCell ref="E87:F87"/>
    <mergeCell ref="E88:F88"/>
    <mergeCell ref="E89:F89"/>
    <mergeCell ref="E90:F90"/>
    <mergeCell ref="A77:F77"/>
    <mergeCell ref="E83:F83"/>
    <mergeCell ref="A84:F84"/>
    <mergeCell ref="C79:D79"/>
    <mergeCell ref="E79:F79"/>
    <mergeCell ref="C80:D80"/>
    <mergeCell ref="E80:F80"/>
    <mergeCell ref="C81:D81"/>
    <mergeCell ref="E81:F81"/>
    <mergeCell ref="C82:D82"/>
    <mergeCell ref="E82:F82"/>
    <mergeCell ref="A83:B83"/>
    <mergeCell ref="C83:D83"/>
    <mergeCell ref="A69:B70"/>
    <mergeCell ref="C69:D70"/>
    <mergeCell ref="E69:F70"/>
    <mergeCell ref="C78:D78"/>
    <mergeCell ref="E78:F78"/>
    <mergeCell ref="C71:D71"/>
    <mergeCell ref="E71:F71"/>
    <mergeCell ref="A72:B73"/>
    <mergeCell ref="C72:D73"/>
    <mergeCell ref="E72:F73"/>
    <mergeCell ref="C74:D74"/>
    <mergeCell ref="E74:F74"/>
    <mergeCell ref="A75:D75"/>
    <mergeCell ref="A76:B76"/>
    <mergeCell ref="C76:D76"/>
    <mergeCell ref="E76:F76"/>
    <mergeCell ref="A67:F67"/>
    <mergeCell ref="A66:F66"/>
    <mergeCell ref="A68:B68"/>
    <mergeCell ref="C68:D68"/>
    <mergeCell ref="E68:F68"/>
    <mergeCell ref="A35:D35"/>
    <mergeCell ref="A52:B52"/>
    <mergeCell ref="A54:F54"/>
    <mergeCell ref="A56:F56"/>
    <mergeCell ref="A65:B65"/>
    <mergeCell ref="D65:E65"/>
    <mergeCell ref="A33:B33"/>
    <mergeCell ref="A1:E1"/>
    <mergeCell ref="A3:E3"/>
    <mergeCell ref="A8:D8"/>
    <mergeCell ref="A2:E2"/>
    <mergeCell ref="C5:C7"/>
    <mergeCell ref="D5:D7"/>
    <mergeCell ref="E5:E7"/>
    <mergeCell ref="E97:F97"/>
    <mergeCell ref="E98:F98"/>
    <mergeCell ref="A96:D96"/>
    <mergeCell ref="A97:D97"/>
    <mergeCell ref="A98:D98"/>
    <mergeCell ref="E96:F96"/>
  </mergeCells>
  <pageMargins left="0.25" right="0.25" top="0.75" bottom="0.75" header="0.3" footer="0.3"/>
  <pageSetup paperSize="9" scale="42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B73A-70D8-49C1-9B48-7C5DAB57A5AE}">
  <dimension ref="A1:F95"/>
  <sheetViews>
    <sheetView topLeftCell="A70" workbookViewId="0">
      <selection activeCell="E94" sqref="E94:F94"/>
    </sheetView>
  </sheetViews>
  <sheetFormatPr defaultRowHeight="14.4" x14ac:dyDescent="0.3"/>
  <cols>
    <col min="1" max="1" width="45.109375" customWidth="1"/>
    <col min="2" max="3" width="12" customWidth="1"/>
    <col min="4" max="4" width="14" customWidth="1"/>
    <col min="5" max="5" width="13.109375" customWidth="1"/>
    <col min="6" max="6" width="15.109375" customWidth="1"/>
  </cols>
  <sheetData>
    <row r="1" spans="1:6" ht="27" customHeight="1" x14ac:dyDescent="0.3">
      <c r="A1" s="107" t="s">
        <v>133</v>
      </c>
      <c r="B1" s="108"/>
      <c r="C1" s="108"/>
      <c r="D1" s="108"/>
      <c r="E1" s="109"/>
      <c r="F1" s="1"/>
    </row>
    <row r="2" spans="1:6" x14ac:dyDescent="0.3">
      <c r="A2" s="107" t="s">
        <v>134</v>
      </c>
      <c r="B2" s="108"/>
      <c r="C2" s="108"/>
      <c r="D2" s="108"/>
      <c r="E2" s="109"/>
      <c r="F2" s="1"/>
    </row>
    <row r="3" spans="1:6" x14ac:dyDescent="0.3">
      <c r="A3" s="110" t="s">
        <v>23</v>
      </c>
      <c r="B3" s="110"/>
      <c r="C3" s="110"/>
      <c r="D3" s="110"/>
      <c r="E3" s="110"/>
      <c r="F3" s="1"/>
    </row>
    <row r="4" spans="1:6" ht="24" x14ac:dyDescent="0.3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3">
      <c r="A5" s="4" t="s">
        <v>135</v>
      </c>
      <c r="B5" s="6">
        <f>1764/220*100</f>
        <v>801.82</v>
      </c>
      <c r="C5" s="113">
        <v>1</v>
      </c>
      <c r="D5" s="114">
        <f>SUM(B5:B7)*C5</f>
        <v>1464.47</v>
      </c>
      <c r="E5" s="114">
        <f>D5*12</f>
        <v>17573.64</v>
      </c>
      <c r="F5" s="1"/>
    </row>
    <row r="6" spans="1:6" x14ac:dyDescent="0.3">
      <c r="A6" s="4" t="s">
        <v>112</v>
      </c>
      <c r="B6" s="6">
        <f>122/220*100</f>
        <v>55.45</v>
      </c>
      <c r="C6" s="113"/>
      <c r="D6" s="114"/>
      <c r="E6" s="114"/>
      <c r="F6" s="1"/>
    </row>
    <row r="7" spans="1:6" x14ac:dyDescent="0.3">
      <c r="A7" s="65" t="s">
        <v>173</v>
      </c>
      <c r="B7" s="6">
        <f>1518*40%</f>
        <v>607.20000000000005</v>
      </c>
      <c r="C7" s="113"/>
      <c r="D7" s="114"/>
      <c r="E7" s="114"/>
      <c r="F7" s="1"/>
    </row>
    <row r="8" spans="1:6" x14ac:dyDescent="0.3">
      <c r="A8" s="111"/>
      <c r="B8" s="112"/>
      <c r="C8" s="112"/>
      <c r="D8" s="112"/>
      <c r="E8" s="53"/>
      <c r="F8" s="1"/>
    </row>
    <row r="9" spans="1:6" x14ac:dyDescent="0.3">
      <c r="A9" s="8" t="s">
        <v>13</v>
      </c>
      <c r="B9" s="15" t="s">
        <v>1</v>
      </c>
      <c r="C9" s="15" t="s">
        <v>12</v>
      </c>
      <c r="D9" s="15" t="s">
        <v>2</v>
      </c>
      <c r="E9" s="40"/>
      <c r="F9" s="1"/>
    </row>
    <row r="10" spans="1:6" x14ac:dyDescent="0.3">
      <c r="A10" s="4" t="s">
        <v>20</v>
      </c>
      <c r="B10" s="5">
        <v>8.3299999999999999E-2</v>
      </c>
      <c r="C10" s="6">
        <f>B10*$D$5</f>
        <v>121.99</v>
      </c>
      <c r="D10" s="6">
        <f>B10*$E$5</f>
        <v>1463.88</v>
      </c>
      <c r="E10" s="54"/>
      <c r="F10" s="37"/>
    </row>
    <row r="11" spans="1:6" ht="36" x14ac:dyDescent="0.3">
      <c r="A11" s="4" t="s">
        <v>102</v>
      </c>
      <c r="B11" s="5">
        <v>2.7799999999999998E-2</v>
      </c>
      <c r="C11" s="6">
        <f>B11*$D$5</f>
        <v>40.71</v>
      </c>
      <c r="D11" s="6">
        <f>B11*$E$5</f>
        <v>488.55</v>
      </c>
      <c r="E11" s="37"/>
      <c r="F11" s="37"/>
    </row>
    <row r="12" spans="1:6" x14ac:dyDescent="0.3">
      <c r="A12" s="15" t="s">
        <v>14</v>
      </c>
      <c r="B12" s="16">
        <f>SUM(B10:B11)</f>
        <v>0.1111</v>
      </c>
      <c r="C12" s="17">
        <f>SUM(C10:C11)</f>
        <v>162.69999999999999</v>
      </c>
      <c r="D12" s="17">
        <f>C12*12</f>
        <v>1952.4</v>
      </c>
      <c r="E12" s="40"/>
      <c r="F12" s="40"/>
    </row>
    <row r="13" spans="1:6" x14ac:dyDescent="0.3">
      <c r="A13" s="52"/>
      <c r="B13" s="52"/>
      <c r="C13" s="52"/>
      <c r="D13" s="55"/>
      <c r="E13" s="53"/>
      <c r="F13" s="53"/>
    </row>
    <row r="14" spans="1:6" x14ac:dyDescent="0.3">
      <c r="A14" s="8" t="s">
        <v>15</v>
      </c>
      <c r="B14" s="15" t="s">
        <v>1</v>
      </c>
      <c r="C14" s="15" t="s">
        <v>12</v>
      </c>
      <c r="D14" s="15" t="s">
        <v>2</v>
      </c>
      <c r="E14" s="37"/>
      <c r="F14" s="37"/>
    </row>
    <row r="15" spans="1:6" x14ac:dyDescent="0.3">
      <c r="A15" s="4" t="s">
        <v>21</v>
      </c>
      <c r="B15" s="5">
        <v>0.2</v>
      </c>
      <c r="C15" s="6">
        <f t="shared" ref="C15:C22" si="0">B15*$D$5</f>
        <v>292.89</v>
      </c>
      <c r="D15" s="6">
        <f t="shared" ref="D15:D22" si="1">B15*$E$5</f>
        <v>3514.73</v>
      </c>
      <c r="E15" s="54"/>
      <c r="F15" s="37"/>
    </row>
    <row r="16" spans="1:6" x14ac:dyDescent="0.3">
      <c r="A16" s="4" t="s">
        <v>57</v>
      </c>
      <c r="B16" s="5">
        <v>2.5000000000000001E-2</v>
      </c>
      <c r="C16" s="6">
        <f t="shared" si="0"/>
        <v>36.61</v>
      </c>
      <c r="D16" s="6">
        <f t="shared" si="1"/>
        <v>439.34</v>
      </c>
      <c r="E16" s="37"/>
      <c r="F16" s="37"/>
    </row>
    <row r="17" spans="1:6" x14ac:dyDescent="0.3">
      <c r="A17" s="4" t="s">
        <v>58</v>
      </c>
      <c r="B17" s="5">
        <v>0.03</v>
      </c>
      <c r="C17" s="6">
        <f t="shared" si="0"/>
        <v>43.93</v>
      </c>
      <c r="D17" s="6">
        <f t="shared" si="1"/>
        <v>527.21</v>
      </c>
      <c r="E17" s="37"/>
      <c r="F17" s="37"/>
    </row>
    <row r="18" spans="1:6" x14ac:dyDescent="0.3">
      <c r="A18" s="4" t="s">
        <v>59</v>
      </c>
      <c r="B18" s="5">
        <v>1.4999999999999999E-2</v>
      </c>
      <c r="C18" s="6">
        <f t="shared" si="0"/>
        <v>21.97</v>
      </c>
      <c r="D18" s="6">
        <f t="shared" si="1"/>
        <v>263.60000000000002</v>
      </c>
      <c r="E18" s="37"/>
      <c r="F18" s="37"/>
    </row>
    <row r="19" spans="1:6" x14ac:dyDescent="0.3">
      <c r="A19" s="4" t="s">
        <v>60</v>
      </c>
      <c r="B19" s="5">
        <v>0.01</v>
      </c>
      <c r="C19" s="6">
        <f t="shared" si="0"/>
        <v>14.64</v>
      </c>
      <c r="D19" s="6">
        <f t="shared" si="1"/>
        <v>175.74</v>
      </c>
      <c r="E19" s="37"/>
      <c r="F19" s="37"/>
    </row>
    <row r="20" spans="1:6" x14ac:dyDescent="0.3">
      <c r="A20" s="4" t="s">
        <v>61</v>
      </c>
      <c r="B20" s="5">
        <v>6.0000000000000001E-3</v>
      </c>
      <c r="C20" s="6">
        <f t="shared" si="0"/>
        <v>8.7899999999999991</v>
      </c>
      <c r="D20" s="6">
        <f t="shared" si="1"/>
        <v>105.44</v>
      </c>
      <c r="E20" s="37"/>
      <c r="F20" s="37"/>
    </row>
    <row r="21" spans="1:6" x14ac:dyDescent="0.3">
      <c r="A21" s="4" t="s">
        <v>62</v>
      </c>
      <c r="B21" s="5">
        <v>2E-3</v>
      </c>
      <c r="C21" s="6">
        <f t="shared" si="0"/>
        <v>2.93</v>
      </c>
      <c r="D21" s="6">
        <f t="shared" si="1"/>
        <v>35.15</v>
      </c>
      <c r="E21" s="37"/>
      <c r="F21" s="37"/>
    </row>
    <row r="22" spans="1:6" x14ac:dyDescent="0.3">
      <c r="A22" s="4" t="s">
        <v>63</v>
      </c>
      <c r="B22" s="5">
        <v>0.08</v>
      </c>
      <c r="C22" s="6">
        <f t="shared" si="0"/>
        <v>117.16</v>
      </c>
      <c r="D22" s="6">
        <f t="shared" si="1"/>
        <v>1405.89</v>
      </c>
      <c r="E22" s="37"/>
      <c r="F22" s="37"/>
    </row>
    <row r="23" spans="1:6" x14ac:dyDescent="0.3">
      <c r="A23" s="15" t="s">
        <v>16</v>
      </c>
      <c r="B23" s="16">
        <f>SUM(B15:B22)</f>
        <v>0.36799999999999999</v>
      </c>
      <c r="C23" s="17">
        <f>SUM(C15:C22)</f>
        <v>538.91999999999996</v>
      </c>
      <c r="D23" s="17">
        <f>C23*12</f>
        <v>6467.04</v>
      </c>
      <c r="E23" s="40"/>
      <c r="F23" s="40"/>
    </row>
    <row r="24" spans="1:6" x14ac:dyDescent="0.3">
      <c r="A24" s="53"/>
      <c r="B24" s="53"/>
      <c r="C24" s="53"/>
      <c r="D24" s="53"/>
      <c r="E24" s="53"/>
      <c r="F24" s="53"/>
    </row>
    <row r="25" spans="1:6" ht="24" x14ac:dyDescent="0.3">
      <c r="A25" s="8" t="s">
        <v>94</v>
      </c>
      <c r="B25" s="15" t="s">
        <v>22</v>
      </c>
      <c r="C25" s="15" t="s">
        <v>12</v>
      </c>
      <c r="D25" s="15" t="s">
        <v>2</v>
      </c>
      <c r="E25" s="41"/>
      <c r="F25" s="1"/>
    </row>
    <row r="26" spans="1:6" ht="24" x14ac:dyDescent="0.3">
      <c r="A26" s="4" t="s">
        <v>93</v>
      </c>
      <c r="B26" s="60">
        <f>(3.8*24*2)-B5*0.06</f>
        <v>134.29</v>
      </c>
      <c r="C26" s="6">
        <f>B26*(SUM($C$5:$C$5))</f>
        <v>134.29</v>
      </c>
      <c r="D26" s="6">
        <f>C26*12</f>
        <v>1611.48</v>
      </c>
      <c r="E26" s="41"/>
      <c r="F26" s="1"/>
    </row>
    <row r="27" spans="1:6" x14ac:dyDescent="0.3">
      <c r="A27" s="4" t="s">
        <v>17</v>
      </c>
      <c r="B27" s="60">
        <f>805*80%</f>
        <v>644</v>
      </c>
      <c r="C27" s="6">
        <f t="shared" ref="C27" si="2">B27*(SUM($C$5:$C$5))</f>
        <v>644</v>
      </c>
      <c r="D27" s="6">
        <f t="shared" ref="D27:D30" si="3">C27*12</f>
        <v>7728</v>
      </c>
      <c r="E27" s="41"/>
      <c r="F27" s="37"/>
    </row>
    <row r="28" spans="1:6" x14ac:dyDescent="0.3">
      <c r="A28" s="4" t="s">
        <v>18</v>
      </c>
      <c r="B28" s="60">
        <v>87.5</v>
      </c>
      <c r="C28" s="6">
        <v>87.5</v>
      </c>
      <c r="D28" s="6">
        <f t="shared" si="3"/>
        <v>1050</v>
      </c>
      <c r="E28" s="41"/>
      <c r="F28" s="37"/>
    </row>
    <row r="29" spans="1:6" x14ac:dyDescent="0.3">
      <c r="A29" s="4" t="s">
        <v>19</v>
      </c>
      <c r="B29" s="60">
        <v>28</v>
      </c>
      <c r="C29" s="6">
        <v>28</v>
      </c>
      <c r="D29" s="6">
        <f t="shared" si="3"/>
        <v>336</v>
      </c>
      <c r="E29" s="41"/>
      <c r="F29" s="37"/>
    </row>
    <row r="30" spans="1:6" x14ac:dyDescent="0.3">
      <c r="A30" s="61" t="s">
        <v>91</v>
      </c>
      <c r="B30" s="62">
        <v>28</v>
      </c>
      <c r="C30" s="63">
        <v>28</v>
      </c>
      <c r="D30" s="64">
        <f t="shared" si="3"/>
        <v>336</v>
      </c>
      <c r="E30" s="41"/>
      <c r="F30" s="40"/>
    </row>
    <row r="31" spans="1:6" x14ac:dyDescent="0.3">
      <c r="A31" s="65" t="s">
        <v>88</v>
      </c>
      <c r="B31" s="66">
        <f>(805*80%)</f>
        <v>644</v>
      </c>
      <c r="C31" s="69">
        <f>B31/12</f>
        <v>53.667000000000002</v>
      </c>
      <c r="D31" s="63">
        <f>C31*12</f>
        <v>644</v>
      </c>
      <c r="E31" s="41"/>
      <c r="F31" s="40"/>
    </row>
    <row r="32" spans="1:6" x14ac:dyDescent="0.3">
      <c r="A32" s="67" t="s">
        <v>89</v>
      </c>
      <c r="B32" s="68">
        <f>SUM(B26:B31)</f>
        <v>1565.79</v>
      </c>
      <c r="C32" s="68">
        <f>SUM(C26:C31)</f>
        <v>975.46</v>
      </c>
      <c r="D32" s="68">
        <f>C32*12</f>
        <v>11705.52</v>
      </c>
      <c r="E32" s="40"/>
      <c r="F32" s="40"/>
    </row>
    <row r="33" spans="1:6" ht="26.25" customHeight="1" x14ac:dyDescent="0.3">
      <c r="A33" s="105" t="s">
        <v>4</v>
      </c>
      <c r="B33" s="106"/>
      <c r="C33" s="48">
        <f>D5+C12+C23+C32</f>
        <v>3141.55</v>
      </c>
      <c r="D33" s="48">
        <f>SUM(E5+D12+D23+D32)</f>
        <v>37698.6</v>
      </c>
      <c r="E33" s="40"/>
      <c r="F33" s="40"/>
    </row>
    <row r="34" spans="1:6" x14ac:dyDescent="0.3">
      <c r="A34" s="40"/>
      <c r="B34" s="40"/>
      <c r="C34" s="40"/>
      <c r="D34" s="40"/>
      <c r="E34" s="40"/>
      <c r="F34" s="40"/>
    </row>
    <row r="35" spans="1:6" x14ac:dyDescent="0.3">
      <c r="A35" s="115" t="s">
        <v>31</v>
      </c>
      <c r="B35" s="115"/>
      <c r="C35" s="115"/>
      <c r="D35" s="115"/>
      <c r="E35" s="40"/>
      <c r="F35" s="40"/>
    </row>
    <row r="36" spans="1:6" x14ac:dyDescent="0.3">
      <c r="A36" s="18" t="s">
        <v>30</v>
      </c>
      <c r="B36" s="19" t="s">
        <v>1</v>
      </c>
      <c r="C36" s="19" t="s">
        <v>12</v>
      </c>
      <c r="D36" s="19" t="s">
        <v>2</v>
      </c>
      <c r="E36" s="40"/>
      <c r="F36" s="40"/>
    </row>
    <row r="37" spans="1:6" x14ac:dyDescent="0.3">
      <c r="A37" s="10" t="s">
        <v>24</v>
      </c>
      <c r="B37" s="13">
        <v>4.1999999999999997E-3</v>
      </c>
      <c r="C37" s="11">
        <f t="shared" ref="C37:C42" si="4">B37*$D$5</f>
        <v>6.15</v>
      </c>
      <c r="D37" s="11">
        <f t="shared" ref="D37:D42" si="5">B37*$E$5</f>
        <v>73.81</v>
      </c>
      <c r="E37" s="37"/>
      <c r="F37" s="1"/>
    </row>
    <row r="38" spans="1:6" x14ac:dyDescent="0.3">
      <c r="A38" s="10" t="s">
        <v>25</v>
      </c>
      <c r="B38" s="14">
        <v>3.3E-4</v>
      </c>
      <c r="C38" s="11">
        <f t="shared" si="4"/>
        <v>0.48</v>
      </c>
      <c r="D38" s="11">
        <f t="shared" si="5"/>
        <v>5.8</v>
      </c>
      <c r="E38" s="37"/>
      <c r="F38" s="1"/>
    </row>
    <row r="39" spans="1:6" x14ac:dyDescent="0.3">
      <c r="A39" s="10" t="s">
        <v>26</v>
      </c>
      <c r="B39" s="14">
        <v>1.6000000000000001E-4</v>
      </c>
      <c r="C39" s="11">
        <f t="shared" si="4"/>
        <v>0.23</v>
      </c>
      <c r="D39" s="11">
        <f t="shared" si="5"/>
        <v>2.81</v>
      </c>
      <c r="E39" s="37"/>
      <c r="F39" s="1"/>
    </row>
    <row r="40" spans="1:6" x14ac:dyDescent="0.3">
      <c r="A40" s="10" t="s">
        <v>27</v>
      </c>
      <c r="B40" s="13">
        <v>1.9400000000000001E-2</v>
      </c>
      <c r="C40" s="11">
        <f t="shared" si="4"/>
        <v>28.41</v>
      </c>
      <c r="D40" s="11">
        <f t="shared" si="5"/>
        <v>340.93</v>
      </c>
      <c r="E40" s="37"/>
      <c r="F40" s="1"/>
    </row>
    <row r="41" spans="1:6" x14ac:dyDescent="0.3">
      <c r="A41" s="10" t="s">
        <v>28</v>
      </c>
      <c r="B41" s="13">
        <f>B40*B23</f>
        <v>7.1000000000000004E-3</v>
      </c>
      <c r="C41" s="11">
        <f t="shared" si="4"/>
        <v>10.4</v>
      </c>
      <c r="D41" s="11">
        <f t="shared" si="5"/>
        <v>124.77</v>
      </c>
      <c r="E41" s="37"/>
      <c r="F41" s="1"/>
    </row>
    <row r="42" spans="1:6" x14ac:dyDescent="0.3">
      <c r="A42" s="10" t="s">
        <v>29</v>
      </c>
      <c r="B42" s="14">
        <v>7.6999999999999996E-4</v>
      </c>
      <c r="C42" s="11">
        <f t="shared" si="4"/>
        <v>1.1299999999999999</v>
      </c>
      <c r="D42" s="11">
        <f t="shared" si="5"/>
        <v>13.53</v>
      </c>
      <c r="E42" s="37"/>
      <c r="F42" s="1"/>
    </row>
    <row r="43" spans="1:6" x14ac:dyDescent="0.3">
      <c r="A43" s="19" t="s">
        <v>38</v>
      </c>
      <c r="B43" s="20">
        <f>SUM(B37:B42)</f>
        <v>3.2000000000000001E-2</v>
      </c>
      <c r="C43" s="21">
        <f>SUM(C37:C42)</f>
        <v>46.8</v>
      </c>
      <c r="D43" s="21">
        <f>C43*12</f>
        <v>561.6</v>
      </c>
      <c r="E43" s="40"/>
      <c r="F43" s="40"/>
    </row>
    <row r="44" spans="1:6" x14ac:dyDescent="0.3">
      <c r="A44" s="49"/>
      <c r="B44" s="50"/>
      <c r="C44" s="50"/>
      <c r="D44" s="50"/>
      <c r="E44" s="40"/>
      <c r="F44" s="40"/>
    </row>
    <row r="45" spans="1:6" x14ac:dyDescent="0.3">
      <c r="A45" s="18" t="s">
        <v>32</v>
      </c>
      <c r="B45" s="19" t="s">
        <v>1</v>
      </c>
      <c r="C45" s="19" t="s">
        <v>12</v>
      </c>
      <c r="D45" s="19" t="s">
        <v>2</v>
      </c>
      <c r="E45" s="39"/>
      <c r="F45" s="39"/>
    </row>
    <row r="46" spans="1:6" x14ac:dyDescent="0.3">
      <c r="A46" s="10" t="s">
        <v>33</v>
      </c>
      <c r="B46" s="13">
        <v>8.3299999999999999E-2</v>
      </c>
      <c r="C46" s="11">
        <f>B46*$D$5</f>
        <v>121.99</v>
      </c>
      <c r="D46" s="11">
        <f>B46*$E$5</f>
        <v>1463.88</v>
      </c>
      <c r="E46" s="37"/>
      <c r="F46" s="37"/>
    </row>
    <row r="47" spans="1:6" x14ac:dyDescent="0.3">
      <c r="A47" s="10" t="s">
        <v>34</v>
      </c>
      <c r="B47" s="13">
        <v>8.0000000000000004E-4</v>
      </c>
      <c r="C47" s="11">
        <f>B47*$D$5</f>
        <v>1.17</v>
      </c>
      <c r="D47" s="11">
        <f>B47*$E$5</f>
        <v>14.06</v>
      </c>
      <c r="E47" s="37"/>
      <c r="F47" s="37"/>
    </row>
    <row r="48" spans="1:6" ht="24" x14ac:dyDescent="0.3">
      <c r="A48" s="10" t="s">
        <v>35</v>
      </c>
      <c r="B48" s="13">
        <v>2.9999999999999997E-4</v>
      </c>
      <c r="C48" s="11">
        <f>B48*$D$5</f>
        <v>0.44</v>
      </c>
      <c r="D48" s="11">
        <f>B48*$E$5</f>
        <v>5.27</v>
      </c>
      <c r="E48" s="37"/>
      <c r="F48" s="37"/>
    </row>
    <row r="49" spans="1:6" x14ac:dyDescent="0.3">
      <c r="A49" s="10" t="s">
        <v>36</v>
      </c>
      <c r="B49" s="13">
        <v>1.2999999999999999E-3</v>
      </c>
      <c r="C49" s="11">
        <f>B49*$D$5</f>
        <v>1.9</v>
      </c>
      <c r="D49" s="11">
        <f>B49*$E$5</f>
        <v>22.85</v>
      </c>
      <c r="E49" s="37"/>
      <c r="F49" s="37"/>
    </row>
    <row r="50" spans="1:6" x14ac:dyDescent="0.3">
      <c r="A50" s="10" t="s">
        <v>37</v>
      </c>
      <c r="B50" s="13">
        <v>8.2000000000000007E-3</v>
      </c>
      <c r="C50" s="11">
        <f>B50*$D$5</f>
        <v>12.01</v>
      </c>
      <c r="D50" s="11">
        <f>B50*$E$5</f>
        <v>144.1</v>
      </c>
      <c r="E50" s="37"/>
      <c r="F50" s="37"/>
    </row>
    <row r="51" spans="1:6" x14ac:dyDescent="0.3">
      <c r="A51" s="19" t="s">
        <v>39</v>
      </c>
      <c r="B51" s="20">
        <f>SUM(B46:B50)</f>
        <v>9.3899999999999997E-2</v>
      </c>
      <c r="C51" s="21">
        <f>SUM(C46:C50)</f>
        <v>137.51</v>
      </c>
      <c r="D51" s="21">
        <f>C51*12</f>
        <v>1650.12</v>
      </c>
      <c r="E51" s="39"/>
      <c r="F51" s="39"/>
    </row>
    <row r="52" spans="1:6" ht="25.5" customHeight="1" x14ac:dyDescent="0.3">
      <c r="A52" s="116" t="s">
        <v>40</v>
      </c>
      <c r="B52" s="117"/>
      <c r="C52" s="46">
        <f>SUM(C43+C51)</f>
        <v>184.31</v>
      </c>
      <c r="D52" s="47">
        <f>SUM(D43+D51)</f>
        <v>2211.7199999999998</v>
      </c>
      <c r="E52" s="39"/>
      <c r="F52" s="39"/>
    </row>
    <row r="53" spans="1:6" x14ac:dyDescent="0.3">
      <c r="A53" s="49"/>
      <c r="B53" s="50"/>
      <c r="C53" s="50"/>
      <c r="D53" s="50"/>
      <c r="E53" s="51"/>
      <c r="F53" s="51"/>
    </row>
    <row r="54" spans="1:6" x14ac:dyDescent="0.3">
      <c r="A54" s="118" t="s">
        <v>115</v>
      </c>
      <c r="B54" s="119"/>
      <c r="C54" s="119"/>
      <c r="D54" s="119"/>
      <c r="E54" s="119"/>
      <c r="F54" s="120"/>
    </row>
    <row r="55" spans="1:6" ht="24" x14ac:dyDescent="0.3">
      <c r="A55" s="22" t="s">
        <v>116</v>
      </c>
      <c r="B55" s="23" t="s">
        <v>90</v>
      </c>
      <c r="C55" s="23" t="s">
        <v>104</v>
      </c>
      <c r="D55" s="23" t="s">
        <v>0</v>
      </c>
      <c r="E55" s="23" t="s">
        <v>12</v>
      </c>
      <c r="F55" s="23" t="s">
        <v>2</v>
      </c>
    </row>
    <row r="56" spans="1:6" x14ac:dyDescent="0.3">
      <c r="A56" s="121" t="s">
        <v>95</v>
      </c>
      <c r="B56" s="122"/>
      <c r="C56" s="122"/>
      <c r="D56" s="122"/>
      <c r="E56" s="122"/>
      <c r="F56" s="123"/>
    </row>
    <row r="57" spans="1:6" x14ac:dyDescent="0.3">
      <c r="A57" s="9" t="s">
        <v>117</v>
      </c>
      <c r="B57" s="2">
        <v>2</v>
      </c>
      <c r="C57" s="45">
        <f>B57*$C$5</f>
        <v>2</v>
      </c>
      <c r="D57" s="58">
        <v>49.1</v>
      </c>
      <c r="E57" s="3">
        <f>D57*C57/12</f>
        <v>8.18</v>
      </c>
      <c r="F57" s="3">
        <f>D57*C57</f>
        <v>98.2</v>
      </c>
    </row>
    <row r="58" spans="1:6" x14ac:dyDescent="0.3">
      <c r="A58" s="9" t="s">
        <v>118</v>
      </c>
      <c r="B58" s="2">
        <v>2</v>
      </c>
      <c r="C58" s="45">
        <f t="shared" ref="C58:C64" si="6">B58*$C$5</f>
        <v>2</v>
      </c>
      <c r="D58" s="58">
        <v>19.899999999999999</v>
      </c>
      <c r="E58" s="3">
        <f>D58*C58/12</f>
        <v>3.32</v>
      </c>
      <c r="F58" s="3">
        <f t="shared" ref="F58:F64" si="7">D58*C58</f>
        <v>39.799999999999997</v>
      </c>
    </row>
    <row r="59" spans="1:6" x14ac:dyDescent="0.3">
      <c r="A59" s="9" t="s">
        <v>119</v>
      </c>
      <c r="B59" s="2">
        <v>2</v>
      </c>
      <c r="C59" s="45">
        <f t="shared" si="6"/>
        <v>2</v>
      </c>
      <c r="D59" s="58">
        <v>65.38</v>
      </c>
      <c r="E59" s="3">
        <f t="shared" ref="E59:E64" si="8">D59*C59/12</f>
        <v>10.9</v>
      </c>
      <c r="F59" s="3">
        <f t="shared" si="7"/>
        <v>130.76</v>
      </c>
    </row>
    <row r="60" spans="1:6" x14ac:dyDescent="0.3">
      <c r="A60" s="9" t="s">
        <v>120</v>
      </c>
      <c r="B60" s="2">
        <v>2</v>
      </c>
      <c r="C60" s="45">
        <f t="shared" si="6"/>
        <v>2</v>
      </c>
      <c r="D60" s="58">
        <v>27.85</v>
      </c>
      <c r="E60" s="3">
        <f t="shared" si="8"/>
        <v>4.6399999999999997</v>
      </c>
      <c r="F60" s="3">
        <f t="shared" si="7"/>
        <v>55.7</v>
      </c>
    </row>
    <row r="61" spans="1:6" x14ac:dyDescent="0.3">
      <c r="A61" s="9" t="s">
        <v>121</v>
      </c>
      <c r="B61" s="2">
        <v>24</v>
      </c>
      <c r="C61" s="45">
        <f t="shared" si="6"/>
        <v>24</v>
      </c>
      <c r="D61" s="58">
        <v>12.9</v>
      </c>
      <c r="E61" s="3">
        <f t="shared" si="8"/>
        <v>25.8</v>
      </c>
      <c r="F61" s="3">
        <f t="shared" si="7"/>
        <v>309.60000000000002</v>
      </c>
    </row>
    <row r="62" spans="1:6" x14ac:dyDescent="0.3">
      <c r="A62" s="9" t="s">
        <v>122</v>
      </c>
      <c r="B62" s="2">
        <v>2</v>
      </c>
      <c r="C62" s="45">
        <f t="shared" si="6"/>
        <v>2</v>
      </c>
      <c r="D62" s="59">
        <v>73</v>
      </c>
      <c r="E62" s="3">
        <f t="shared" si="8"/>
        <v>12.17</v>
      </c>
      <c r="F62" s="3">
        <f t="shared" si="7"/>
        <v>146</v>
      </c>
    </row>
    <row r="63" spans="1:6" x14ac:dyDescent="0.3">
      <c r="A63" s="9" t="s">
        <v>123</v>
      </c>
      <c r="B63" s="2">
        <v>1</v>
      </c>
      <c r="C63" s="45">
        <f t="shared" si="6"/>
        <v>1</v>
      </c>
      <c r="D63" s="58">
        <v>37.9</v>
      </c>
      <c r="E63" s="3">
        <f t="shared" si="8"/>
        <v>3.16</v>
      </c>
      <c r="F63" s="3">
        <f t="shared" si="7"/>
        <v>37.9</v>
      </c>
    </row>
    <row r="64" spans="1:6" x14ac:dyDescent="0.3">
      <c r="A64" s="9" t="s">
        <v>124</v>
      </c>
      <c r="B64" s="2">
        <v>2</v>
      </c>
      <c r="C64" s="45">
        <f t="shared" si="6"/>
        <v>2</v>
      </c>
      <c r="D64" s="58">
        <v>25.02</v>
      </c>
      <c r="E64" s="3">
        <f t="shared" si="8"/>
        <v>4.17</v>
      </c>
      <c r="F64" s="3">
        <f t="shared" si="7"/>
        <v>50.04</v>
      </c>
    </row>
    <row r="65" spans="1:6" x14ac:dyDescent="0.3">
      <c r="A65" s="124" t="s">
        <v>96</v>
      </c>
      <c r="B65" s="124"/>
      <c r="C65" s="57">
        <f>SUM(E57:E64)</f>
        <v>72.34</v>
      </c>
      <c r="D65" s="125" t="s">
        <v>3</v>
      </c>
      <c r="E65" s="125"/>
      <c r="F65" s="56">
        <f>C65*12</f>
        <v>868.08</v>
      </c>
    </row>
    <row r="66" spans="1:6" x14ac:dyDescent="0.3">
      <c r="A66" s="127"/>
      <c r="B66" s="127"/>
      <c r="C66" s="127"/>
      <c r="D66" s="127"/>
      <c r="E66" s="127"/>
      <c r="F66" s="127"/>
    </row>
    <row r="67" spans="1:6" x14ac:dyDescent="0.3">
      <c r="A67" s="126" t="s">
        <v>97</v>
      </c>
      <c r="B67" s="126"/>
      <c r="C67" s="126"/>
      <c r="D67" s="126"/>
      <c r="E67" s="126"/>
      <c r="F67" s="126"/>
    </row>
    <row r="68" spans="1:6" x14ac:dyDescent="0.3">
      <c r="A68" s="128" t="s">
        <v>41</v>
      </c>
      <c r="B68" s="128" t="s">
        <v>43</v>
      </c>
      <c r="C68" s="129" t="s">
        <v>12</v>
      </c>
      <c r="D68" s="129"/>
      <c r="E68" s="129" t="s">
        <v>2</v>
      </c>
      <c r="F68" s="129"/>
    </row>
    <row r="69" spans="1:6" x14ac:dyDescent="0.3">
      <c r="A69" s="130" t="s">
        <v>99</v>
      </c>
      <c r="B69" s="130"/>
      <c r="C69" s="131">
        <f>SUM(C33,C52)</f>
        <v>3325.86</v>
      </c>
      <c r="D69" s="131"/>
      <c r="E69" s="131">
        <f>C69*12</f>
        <v>39910.32</v>
      </c>
      <c r="F69" s="131"/>
    </row>
    <row r="70" spans="1:6" x14ac:dyDescent="0.3">
      <c r="A70" s="130"/>
      <c r="B70" s="130"/>
      <c r="C70" s="131"/>
      <c r="D70" s="131"/>
      <c r="E70" s="131"/>
      <c r="F70" s="131"/>
    </row>
    <row r="71" spans="1:6" x14ac:dyDescent="0.3">
      <c r="A71" s="28" t="s">
        <v>52</v>
      </c>
      <c r="B71" s="35">
        <v>0.03</v>
      </c>
      <c r="C71" s="133">
        <f>C69*B71</f>
        <v>99.78</v>
      </c>
      <c r="D71" s="133"/>
      <c r="E71" s="133">
        <f>C71*12</f>
        <v>1197.3599999999999</v>
      </c>
      <c r="F71" s="133"/>
    </row>
    <row r="72" spans="1:6" x14ac:dyDescent="0.3">
      <c r="A72" s="134" t="s">
        <v>100</v>
      </c>
      <c r="B72" s="134"/>
      <c r="C72" s="131">
        <f>C69+C71</f>
        <v>3425.64</v>
      </c>
      <c r="D72" s="131"/>
      <c r="E72" s="131">
        <f>E69+E71</f>
        <v>41107.68</v>
      </c>
      <c r="F72" s="131"/>
    </row>
    <row r="73" spans="1:6" x14ac:dyDescent="0.3">
      <c r="A73" s="134"/>
      <c r="B73" s="134"/>
      <c r="C73" s="131"/>
      <c r="D73" s="131"/>
      <c r="E73" s="131"/>
      <c r="F73" s="131"/>
    </row>
    <row r="74" spans="1:6" x14ac:dyDescent="0.3">
      <c r="A74" s="28" t="s">
        <v>44</v>
      </c>
      <c r="B74" s="35">
        <v>6.7900000000000002E-2</v>
      </c>
      <c r="C74" s="133">
        <f>C72*B74</f>
        <v>232.6</v>
      </c>
      <c r="D74" s="133"/>
      <c r="E74" s="133">
        <f>C74*12</f>
        <v>2791.2</v>
      </c>
      <c r="F74" s="133"/>
    </row>
    <row r="75" spans="1:6" x14ac:dyDescent="0.3">
      <c r="A75" s="135" t="s">
        <v>45</v>
      </c>
      <c r="B75" s="135"/>
      <c r="C75" s="135"/>
      <c r="D75" s="135"/>
      <c r="E75" s="29"/>
      <c r="F75" s="30"/>
    </row>
    <row r="76" spans="1:6" x14ac:dyDescent="0.3">
      <c r="A76" s="130" t="s">
        <v>46</v>
      </c>
      <c r="B76" s="130"/>
      <c r="C76" s="136">
        <f>C74+C71+C69</f>
        <v>3658.24</v>
      </c>
      <c r="D76" s="136"/>
      <c r="E76" s="136">
        <f>E74+E71+E69</f>
        <v>43898.879999999997</v>
      </c>
      <c r="F76" s="136"/>
    </row>
    <row r="77" spans="1:6" x14ac:dyDescent="0.3">
      <c r="A77" s="137" t="s">
        <v>47</v>
      </c>
      <c r="B77" s="138"/>
      <c r="C77" s="138"/>
      <c r="D77" s="138"/>
      <c r="E77" s="138"/>
      <c r="F77" s="139"/>
    </row>
    <row r="78" spans="1:6" x14ac:dyDescent="0.3">
      <c r="A78" s="31" t="s">
        <v>48</v>
      </c>
      <c r="B78" s="31"/>
      <c r="C78" s="132" t="s">
        <v>12</v>
      </c>
      <c r="D78" s="132"/>
      <c r="E78" s="132" t="s">
        <v>2</v>
      </c>
      <c r="F78" s="132"/>
    </row>
    <row r="79" spans="1:6" x14ac:dyDescent="0.3">
      <c r="A79" s="32" t="s">
        <v>49</v>
      </c>
      <c r="B79" s="35">
        <v>7.5999999999999998E-2</v>
      </c>
      <c r="C79" s="133">
        <f>($C$76)*B79/(1-($B$82))</f>
        <v>324.23</v>
      </c>
      <c r="D79" s="133"/>
      <c r="E79" s="133">
        <f>C79*12</f>
        <v>3890.76</v>
      </c>
      <c r="F79" s="133"/>
    </row>
    <row r="80" spans="1:6" x14ac:dyDescent="0.3">
      <c r="A80" s="32" t="s">
        <v>50</v>
      </c>
      <c r="B80" s="35">
        <v>1.6500000000000001E-2</v>
      </c>
      <c r="C80" s="133">
        <f t="shared" ref="C80:C81" si="9">($C$76)*B80/(1-($B$82))</f>
        <v>70.39</v>
      </c>
      <c r="D80" s="133"/>
      <c r="E80" s="133">
        <f t="shared" ref="E80:E81" si="10">C80*12</f>
        <v>844.68</v>
      </c>
      <c r="F80" s="133"/>
    </row>
    <row r="81" spans="1:6" x14ac:dyDescent="0.3">
      <c r="A81" s="32" t="s">
        <v>53</v>
      </c>
      <c r="B81" s="35">
        <v>0.05</v>
      </c>
      <c r="C81" s="133">
        <f t="shared" si="9"/>
        <v>213.31</v>
      </c>
      <c r="D81" s="133"/>
      <c r="E81" s="133">
        <f t="shared" si="10"/>
        <v>2559.7199999999998</v>
      </c>
      <c r="F81" s="133"/>
    </row>
    <row r="82" spans="1:6" x14ac:dyDescent="0.3">
      <c r="A82" s="33" t="s">
        <v>51</v>
      </c>
      <c r="B82" s="34">
        <f>SUM(B79:B81)</f>
        <v>0.14249999999999999</v>
      </c>
      <c r="C82" s="133">
        <f>SUM(C79:D81)</f>
        <v>607.92999999999995</v>
      </c>
      <c r="D82" s="133"/>
      <c r="E82" s="144">
        <f>SUM(E79:F81)</f>
        <v>7295.16</v>
      </c>
      <c r="F82" s="145"/>
    </row>
    <row r="83" spans="1:6" x14ac:dyDescent="0.3">
      <c r="A83" s="146" t="s">
        <v>98</v>
      </c>
      <c r="B83" s="146"/>
      <c r="C83" s="140">
        <f>C71+C74+C82</f>
        <v>940.31</v>
      </c>
      <c r="D83" s="140"/>
      <c r="E83" s="140">
        <f>C83*12</f>
        <v>11283.72</v>
      </c>
      <c r="F83" s="140"/>
    </row>
    <row r="84" spans="1:6" x14ac:dyDescent="0.3">
      <c r="A84" s="141"/>
      <c r="B84" s="142"/>
      <c r="C84" s="142"/>
      <c r="D84" s="142"/>
      <c r="E84" s="142"/>
      <c r="F84" s="143"/>
    </row>
    <row r="85" spans="1:6" x14ac:dyDescent="0.3">
      <c r="A85" s="148" t="s">
        <v>54</v>
      </c>
      <c r="B85" s="151" t="s">
        <v>12</v>
      </c>
      <c r="C85" s="151"/>
      <c r="D85" s="152" t="s">
        <v>3</v>
      </c>
      <c r="E85" s="153"/>
      <c r="F85" s="154"/>
    </row>
    <row r="86" spans="1:6" x14ac:dyDescent="0.3">
      <c r="A86" s="149"/>
      <c r="B86" s="25" t="s">
        <v>5</v>
      </c>
      <c r="C86" s="26">
        <f>C33</f>
        <v>3141.55</v>
      </c>
      <c r="D86" s="25" t="s">
        <v>5</v>
      </c>
      <c r="E86" s="155">
        <f>D33</f>
        <v>37698.6</v>
      </c>
      <c r="F86" s="156"/>
    </row>
    <row r="87" spans="1:6" x14ac:dyDescent="0.3">
      <c r="A87" s="149"/>
      <c r="B87" s="25" t="s">
        <v>6</v>
      </c>
      <c r="C87" s="26">
        <f>C52</f>
        <v>184.31</v>
      </c>
      <c r="D87" s="25" t="s">
        <v>6</v>
      </c>
      <c r="E87" s="155">
        <f>D52</f>
        <v>2211.7199999999998</v>
      </c>
      <c r="F87" s="156"/>
    </row>
    <row r="88" spans="1:6" x14ac:dyDescent="0.3">
      <c r="A88" s="149"/>
      <c r="B88" s="25" t="s">
        <v>7</v>
      </c>
      <c r="C88" s="26">
        <f>C65</f>
        <v>72.34</v>
      </c>
      <c r="D88" s="25" t="s">
        <v>7</v>
      </c>
      <c r="E88" s="155">
        <f>F65</f>
        <v>868.08</v>
      </c>
      <c r="F88" s="156"/>
    </row>
    <row r="89" spans="1:6" x14ac:dyDescent="0.3">
      <c r="A89" s="149"/>
      <c r="B89" s="25" t="s">
        <v>8</v>
      </c>
      <c r="C89" s="26">
        <f>C83</f>
        <v>940.31</v>
      </c>
      <c r="D89" s="25" t="s">
        <v>8</v>
      </c>
      <c r="E89" s="155">
        <f>E83</f>
        <v>11283.72</v>
      </c>
      <c r="F89" s="156"/>
    </row>
    <row r="90" spans="1:6" x14ac:dyDescent="0.3">
      <c r="A90" s="150"/>
      <c r="B90" s="24" t="s">
        <v>12</v>
      </c>
      <c r="C90" s="27">
        <f>SUM(C86:C89)</f>
        <v>4338.51</v>
      </c>
      <c r="D90" s="24" t="s">
        <v>42</v>
      </c>
      <c r="E90" s="157">
        <f>SUM(E86:E89)</f>
        <v>52062.12</v>
      </c>
      <c r="F90" s="158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ht="17.399999999999999" x14ac:dyDescent="0.3">
      <c r="A93" s="102" t="s">
        <v>130</v>
      </c>
      <c r="B93" s="103"/>
      <c r="C93" s="103"/>
      <c r="D93" s="104"/>
      <c r="E93" s="102">
        <v>2</v>
      </c>
      <c r="F93" s="104"/>
    </row>
    <row r="94" spans="1:6" ht="17.399999999999999" x14ac:dyDescent="0.3">
      <c r="A94" s="102" t="s">
        <v>131</v>
      </c>
      <c r="B94" s="103"/>
      <c r="C94" s="103"/>
      <c r="D94" s="104"/>
      <c r="E94" s="101">
        <f>C90*E93</f>
        <v>8677.02</v>
      </c>
      <c r="F94" s="101"/>
    </row>
    <row r="95" spans="1:6" ht="17.399999999999999" x14ac:dyDescent="0.3">
      <c r="A95" s="102" t="s">
        <v>132</v>
      </c>
      <c r="B95" s="103"/>
      <c r="C95" s="103"/>
      <c r="D95" s="104"/>
      <c r="E95" s="101">
        <f>E94*12</f>
        <v>104124.24</v>
      </c>
      <c r="F95" s="101"/>
    </row>
  </sheetData>
  <mergeCells count="62">
    <mergeCell ref="A95:D95"/>
    <mergeCell ref="E95:F95"/>
    <mergeCell ref="A93:D93"/>
    <mergeCell ref="E93:F93"/>
    <mergeCell ref="A94:D94"/>
    <mergeCell ref="E94:F94"/>
    <mergeCell ref="A84:F84"/>
    <mergeCell ref="A85:A90"/>
    <mergeCell ref="B85:C85"/>
    <mergeCell ref="D85:F85"/>
    <mergeCell ref="E86:F86"/>
    <mergeCell ref="E87:F87"/>
    <mergeCell ref="E88:F88"/>
    <mergeCell ref="E89:F89"/>
    <mergeCell ref="E90:F90"/>
    <mergeCell ref="C81:D81"/>
    <mergeCell ref="E81:F81"/>
    <mergeCell ref="C82:D82"/>
    <mergeCell ref="E82:F82"/>
    <mergeCell ref="A83:B83"/>
    <mergeCell ref="C83:D83"/>
    <mergeCell ref="E83:F83"/>
    <mergeCell ref="C80:D80"/>
    <mergeCell ref="E80:F80"/>
    <mergeCell ref="C74:D74"/>
    <mergeCell ref="E74:F74"/>
    <mergeCell ref="A75:D75"/>
    <mergeCell ref="A76:B76"/>
    <mergeCell ref="C76:D76"/>
    <mergeCell ref="E76:F76"/>
    <mergeCell ref="A77:F77"/>
    <mergeCell ref="C78:D78"/>
    <mergeCell ref="E78:F78"/>
    <mergeCell ref="C79:D79"/>
    <mergeCell ref="E79:F79"/>
    <mergeCell ref="A72:B73"/>
    <mergeCell ref="C72:D73"/>
    <mergeCell ref="E72:F73"/>
    <mergeCell ref="A65:B65"/>
    <mergeCell ref="D65:E65"/>
    <mergeCell ref="A66:F66"/>
    <mergeCell ref="A67:F67"/>
    <mergeCell ref="A68:B68"/>
    <mergeCell ref="C68:D68"/>
    <mergeCell ref="E68:F68"/>
    <mergeCell ref="A69:B70"/>
    <mergeCell ref="C69:D70"/>
    <mergeCell ref="E69:F70"/>
    <mergeCell ref="C71:D71"/>
    <mergeCell ref="E71:F71"/>
    <mergeCell ref="A56:F56"/>
    <mergeCell ref="A1:E1"/>
    <mergeCell ref="A2:E2"/>
    <mergeCell ref="A3:E3"/>
    <mergeCell ref="C5:C7"/>
    <mergeCell ref="D5:D7"/>
    <mergeCell ref="E5:E7"/>
    <mergeCell ref="A8:D8"/>
    <mergeCell ref="A33:B33"/>
    <mergeCell ref="A35:D35"/>
    <mergeCell ref="A52:B52"/>
    <mergeCell ref="A54:F54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6387-50B8-45CE-A40D-FB2362CD423D}">
  <sheetPr>
    <pageSetUpPr fitToPage="1"/>
  </sheetPr>
  <dimension ref="A1:F95"/>
  <sheetViews>
    <sheetView topLeftCell="A73" workbookViewId="0">
      <selection activeCell="E94" sqref="E94:F94"/>
    </sheetView>
  </sheetViews>
  <sheetFormatPr defaultRowHeight="14.4" x14ac:dyDescent="0.3"/>
  <cols>
    <col min="1" max="1" width="38.88671875" customWidth="1"/>
    <col min="2" max="2" width="11" customWidth="1"/>
    <col min="3" max="3" width="10.33203125" bestFit="1" customWidth="1"/>
    <col min="4" max="4" width="13.5546875" bestFit="1" customWidth="1"/>
    <col min="5" max="5" width="16.6640625" customWidth="1"/>
    <col min="6" max="6" width="14.44140625" bestFit="1" customWidth="1"/>
  </cols>
  <sheetData>
    <row r="1" spans="1:6" ht="35.25" customHeight="1" x14ac:dyDescent="0.3">
      <c r="A1" s="107" t="s">
        <v>136</v>
      </c>
      <c r="B1" s="108"/>
      <c r="C1" s="108"/>
      <c r="D1" s="108"/>
      <c r="E1" s="109"/>
      <c r="F1" s="1"/>
    </row>
    <row r="2" spans="1:6" x14ac:dyDescent="0.3">
      <c r="A2" s="107" t="s">
        <v>137</v>
      </c>
      <c r="B2" s="108"/>
      <c r="C2" s="108"/>
      <c r="D2" s="108"/>
      <c r="E2" s="109"/>
      <c r="F2" s="1"/>
    </row>
    <row r="3" spans="1:6" x14ac:dyDescent="0.3">
      <c r="A3" s="110" t="s">
        <v>23</v>
      </c>
      <c r="B3" s="110"/>
      <c r="C3" s="110"/>
      <c r="D3" s="110"/>
      <c r="E3" s="110"/>
      <c r="F3" s="1"/>
    </row>
    <row r="4" spans="1:6" ht="24" x14ac:dyDescent="0.3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3">
      <c r="A5" s="4" t="s">
        <v>114</v>
      </c>
      <c r="B5" s="6">
        <f>1764/220*200</f>
        <v>1603.64</v>
      </c>
      <c r="C5" s="113">
        <v>1</v>
      </c>
      <c r="D5" s="114">
        <f>SUM(B5:B7)*C5</f>
        <v>2210.84</v>
      </c>
      <c r="E5" s="114">
        <f>D5*12</f>
        <v>26530.080000000002</v>
      </c>
      <c r="F5" s="1"/>
    </row>
    <row r="6" spans="1:6" x14ac:dyDescent="0.3">
      <c r="A6" s="4" t="s">
        <v>112</v>
      </c>
      <c r="B6" s="6">
        <v>0</v>
      </c>
      <c r="C6" s="113"/>
      <c r="D6" s="114"/>
      <c r="E6" s="114"/>
      <c r="F6" s="1"/>
    </row>
    <row r="7" spans="1:6" x14ac:dyDescent="0.3">
      <c r="A7" s="65" t="s">
        <v>173</v>
      </c>
      <c r="B7" s="6">
        <f>1518*40%</f>
        <v>607.20000000000005</v>
      </c>
      <c r="C7" s="113"/>
      <c r="D7" s="114"/>
      <c r="E7" s="114"/>
      <c r="F7" s="1"/>
    </row>
    <row r="8" spans="1:6" x14ac:dyDescent="0.3">
      <c r="A8" s="111"/>
      <c r="B8" s="112"/>
      <c r="C8" s="112"/>
      <c r="D8" s="112"/>
      <c r="E8" s="53"/>
      <c r="F8" s="1"/>
    </row>
    <row r="9" spans="1:6" ht="24" x14ac:dyDescent="0.3">
      <c r="A9" s="8" t="s">
        <v>13</v>
      </c>
      <c r="B9" s="15" t="s">
        <v>1</v>
      </c>
      <c r="C9" s="15" t="s">
        <v>12</v>
      </c>
      <c r="D9" s="15" t="s">
        <v>2</v>
      </c>
      <c r="E9" s="40"/>
      <c r="F9" s="1"/>
    </row>
    <row r="10" spans="1:6" x14ac:dyDescent="0.3">
      <c r="A10" s="4" t="s">
        <v>20</v>
      </c>
      <c r="B10" s="5">
        <v>8.3299999999999999E-2</v>
      </c>
      <c r="C10" s="6">
        <f>B10*$D$5</f>
        <v>184.16</v>
      </c>
      <c r="D10" s="6">
        <f>B10*$E$5</f>
        <v>2209.96</v>
      </c>
      <c r="E10" s="54"/>
      <c r="F10" s="37"/>
    </row>
    <row r="11" spans="1:6" ht="36" x14ac:dyDescent="0.3">
      <c r="A11" s="4" t="s">
        <v>102</v>
      </c>
      <c r="B11" s="5">
        <v>2.7799999999999998E-2</v>
      </c>
      <c r="C11" s="6">
        <f>B11*$D$5</f>
        <v>61.46</v>
      </c>
      <c r="D11" s="6">
        <f>B11*$E$5</f>
        <v>737.54</v>
      </c>
      <c r="E11" s="37"/>
      <c r="F11" s="37"/>
    </row>
    <row r="12" spans="1:6" x14ac:dyDescent="0.3">
      <c r="A12" s="15" t="s">
        <v>14</v>
      </c>
      <c r="B12" s="16">
        <f>SUM(B10:B11)</f>
        <v>0.1111</v>
      </c>
      <c r="C12" s="17">
        <f>SUM(C10:C11)</f>
        <v>245.62</v>
      </c>
      <c r="D12" s="17">
        <f>C12*12</f>
        <v>2947.44</v>
      </c>
      <c r="E12" s="40"/>
      <c r="F12" s="40"/>
    </row>
    <row r="13" spans="1:6" x14ac:dyDescent="0.3">
      <c r="A13" s="52"/>
      <c r="B13" s="52"/>
      <c r="C13" s="52"/>
      <c r="D13" s="55"/>
      <c r="E13" s="53"/>
      <c r="F13" s="53"/>
    </row>
    <row r="14" spans="1:6" ht="24" x14ac:dyDescent="0.3">
      <c r="A14" s="8" t="s">
        <v>15</v>
      </c>
      <c r="B14" s="15" t="s">
        <v>1</v>
      </c>
      <c r="C14" s="15" t="s">
        <v>12</v>
      </c>
      <c r="D14" s="15" t="s">
        <v>2</v>
      </c>
      <c r="E14" s="37"/>
      <c r="F14" s="37"/>
    </row>
    <row r="15" spans="1:6" x14ac:dyDescent="0.3">
      <c r="A15" s="4" t="s">
        <v>21</v>
      </c>
      <c r="B15" s="5">
        <v>0.2</v>
      </c>
      <c r="C15" s="6">
        <f t="shared" ref="C15:C22" si="0">B15*$D$5</f>
        <v>442.17</v>
      </c>
      <c r="D15" s="6">
        <f t="shared" ref="D15:D22" si="1">B15*$E$5</f>
        <v>5306.02</v>
      </c>
      <c r="E15" s="54"/>
      <c r="F15" s="37"/>
    </row>
    <row r="16" spans="1:6" x14ac:dyDescent="0.3">
      <c r="A16" s="4" t="s">
        <v>57</v>
      </c>
      <c r="B16" s="5">
        <v>2.5000000000000001E-2</v>
      </c>
      <c r="C16" s="6">
        <f t="shared" si="0"/>
        <v>55.27</v>
      </c>
      <c r="D16" s="6">
        <f t="shared" si="1"/>
        <v>663.25</v>
      </c>
      <c r="E16" s="37"/>
      <c r="F16" s="37"/>
    </row>
    <row r="17" spans="1:6" x14ac:dyDescent="0.3">
      <c r="A17" s="4" t="s">
        <v>58</v>
      </c>
      <c r="B17" s="5">
        <v>0.03</v>
      </c>
      <c r="C17" s="6">
        <f t="shared" si="0"/>
        <v>66.33</v>
      </c>
      <c r="D17" s="6">
        <f t="shared" si="1"/>
        <v>795.9</v>
      </c>
      <c r="E17" s="37"/>
      <c r="F17" s="37"/>
    </row>
    <row r="18" spans="1:6" x14ac:dyDescent="0.3">
      <c r="A18" s="4" t="s">
        <v>59</v>
      </c>
      <c r="B18" s="5">
        <v>1.4999999999999999E-2</v>
      </c>
      <c r="C18" s="6">
        <f t="shared" si="0"/>
        <v>33.159999999999997</v>
      </c>
      <c r="D18" s="6">
        <f t="shared" si="1"/>
        <v>397.95</v>
      </c>
      <c r="E18" s="37"/>
      <c r="F18" s="37"/>
    </row>
    <row r="19" spans="1:6" x14ac:dyDescent="0.3">
      <c r="A19" s="4" t="s">
        <v>60</v>
      </c>
      <c r="B19" s="5">
        <v>0.01</v>
      </c>
      <c r="C19" s="6">
        <f t="shared" si="0"/>
        <v>22.11</v>
      </c>
      <c r="D19" s="6">
        <f t="shared" si="1"/>
        <v>265.3</v>
      </c>
      <c r="E19" s="37"/>
      <c r="F19" s="37"/>
    </row>
    <row r="20" spans="1:6" x14ac:dyDescent="0.3">
      <c r="A20" s="4" t="s">
        <v>61</v>
      </c>
      <c r="B20" s="5">
        <v>6.0000000000000001E-3</v>
      </c>
      <c r="C20" s="6">
        <f t="shared" si="0"/>
        <v>13.27</v>
      </c>
      <c r="D20" s="6">
        <f t="shared" si="1"/>
        <v>159.18</v>
      </c>
      <c r="E20" s="37"/>
      <c r="F20" s="37"/>
    </row>
    <row r="21" spans="1:6" x14ac:dyDescent="0.3">
      <c r="A21" s="4" t="s">
        <v>62</v>
      </c>
      <c r="B21" s="5">
        <v>2E-3</v>
      </c>
      <c r="C21" s="6">
        <f t="shared" si="0"/>
        <v>4.42</v>
      </c>
      <c r="D21" s="6">
        <f t="shared" si="1"/>
        <v>53.06</v>
      </c>
      <c r="E21" s="37"/>
      <c r="F21" s="37"/>
    </row>
    <row r="22" spans="1:6" x14ac:dyDescent="0.3">
      <c r="A22" s="4" t="s">
        <v>63</v>
      </c>
      <c r="B22" s="5">
        <v>0.08</v>
      </c>
      <c r="C22" s="6">
        <f t="shared" si="0"/>
        <v>176.87</v>
      </c>
      <c r="D22" s="6">
        <f t="shared" si="1"/>
        <v>2122.41</v>
      </c>
      <c r="E22" s="37"/>
      <c r="F22" s="37"/>
    </row>
    <row r="23" spans="1:6" x14ac:dyDescent="0.3">
      <c r="A23" s="15" t="s">
        <v>16</v>
      </c>
      <c r="B23" s="16">
        <f>SUM(B15:B22)</f>
        <v>0.36799999999999999</v>
      </c>
      <c r="C23" s="17">
        <f>SUM(C15:C22)</f>
        <v>813.6</v>
      </c>
      <c r="D23" s="17">
        <f>C23*12</f>
        <v>9763.2000000000007</v>
      </c>
      <c r="E23" s="40"/>
      <c r="F23" s="40"/>
    </row>
    <row r="24" spans="1:6" x14ac:dyDescent="0.3">
      <c r="A24" s="53"/>
      <c r="B24" s="53"/>
      <c r="C24" s="53"/>
      <c r="D24" s="53"/>
      <c r="E24" s="53"/>
      <c r="F24" s="53"/>
    </row>
    <row r="25" spans="1:6" ht="24" x14ac:dyDescent="0.3">
      <c r="A25" s="8" t="s">
        <v>94</v>
      </c>
      <c r="B25" s="15" t="s">
        <v>22</v>
      </c>
      <c r="C25" s="15" t="s">
        <v>12</v>
      </c>
      <c r="D25" s="15" t="s">
        <v>2</v>
      </c>
      <c r="E25" s="41"/>
      <c r="F25" s="1"/>
    </row>
    <row r="26" spans="1:6" ht="24" x14ac:dyDescent="0.3">
      <c r="A26" s="4" t="s">
        <v>93</v>
      </c>
      <c r="B26" s="60">
        <f>(3.8*24*2)-B5*0.06</f>
        <v>86.18</v>
      </c>
      <c r="C26" s="6">
        <f t="shared" ref="C26:C27" si="2">B26*(SUM($C$5:$C$5))</f>
        <v>86.18</v>
      </c>
      <c r="D26" s="6">
        <f>C26*12</f>
        <v>1034.1600000000001</v>
      </c>
      <c r="E26" s="41"/>
      <c r="F26" s="1"/>
    </row>
    <row r="27" spans="1:6" x14ac:dyDescent="0.3">
      <c r="A27" s="4" t="s">
        <v>17</v>
      </c>
      <c r="B27" s="60">
        <f>805*80%</f>
        <v>644</v>
      </c>
      <c r="C27" s="6">
        <f t="shared" si="2"/>
        <v>644</v>
      </c>
      <c r="D27" s="6">
        <f t="shared" ref="D27:D30" si="3">C27*12</f>
        <v>7728</v>
      </c>
      <c r="E27" s="41"/>
      <c r="F27" s="37"/>
    </row>
    <row r="28" spans="1:6" x14ac:dyDescent="0.3">
      <c r="A28" s="4" t="s">
        <v>18</v>
      </c>
      <c r="B28" s="60">
        <v>87.5</v>
      </c>
      <c r="C28" s="6">
        <v>87.5</v>
      </c>
      <c r="D28" s="6">
        <f t="shared" si="3"/>
        <v>1050</v>
      </c>
      <c r="E28" s="41"/>
      <c r="F28" s="37"/>
    </row>
    <row r="29" spans="1:6" x14ac:dyDescent="0.3">
      <c r="A29" s="4" t="s">
        <v>19</v>
      </c>
      <c r="B29" s="60">
        <v>28</v>
      </c>
      <c r="C29" s="6">
        <v>28</v>
      </c>
      <c r="D29" s="6">
        <f t="shared" si="3"/>
        <v>336</v>
      </c>
      <c r="E29" s="41"/>
      <c r="F29" s="37"/>
    </row>
    <row r="30" spans="1:6" x14ac:dyDescent="0.3">
      <c r="A30" s="61" t="s">
        <v>91</v>
      </c>
      <c r="B30" s="62">
        <v>28</v>
      </c>
      <c r="C30" s="63">
        <v>28</v>
      </c>
      <c r="D30" s="64">
        <f t="shared" si="3"/>
        <v>336</v>
      </c>
      <c r="E30" s="41"/>
      <c r="F30" s="40"/>
    </row>
    <row r="31" spans="1:6" x14ac:dyDescent="0.3">
      <c r="A31" s="65" t="s">
        <v>88</v>
      </c>
      <c r="B31" s="66">
        <f>(805*80%)</f>
        <v>644</v>
      </c>
      <c r="C31" s="69">
        <f>B31/12</f>
        <v>53.667000000000002</v>
      </c>
      <c r="D31" s="63">
        <f>C31*12</f>
        <v>644</v>
      </c>
      <c r="E31" s="41"/>
      <c r="F31" s="40"/>
    </row>
    <row r="32" spans="1:6" x14ac:dyDescent="0.3">
      <c r="A32" s="67" t="s">
        <v>89</v>
      </c>
      <c r="B32" s="68">
        <f>SUM(B26:B31)</f>
        <v>1517.68</v>
      </c>
      <c r="C32" s="68">
        <f>SUM(C26:C31)</f>
        <v>927.35</v>
      </c>
      <c r="D32" s="68">
        <f>C32*12</f>
        <v>11128.2</v>
      </c>
      <c r="E32" s="40"/>
      <c r="F32" s="40"/>
    </row>
    <row r="33" spans="1:6" ht="29.25" customHeight="1" x14ac:dyDescent="0.3">
      <c r="A33" s="105" t="s">
        <v>4</v>
      </c>
      <c r="B33" s="106"/>
      <c r="C33" s="48">
        <f>D5+C12+C23+C32</f>
        <v>4197.41</v>
      </c>
      <c r="D33" s="48">
        <f>SUM(E5+D12+D23+D32)</f>
        <v>50368.92</v>
      </c>
      <c r="E33" s="40"/>
      <c r="F33" s="40"/>
    </row>
    <row r="34" spans="1:6" x14ac:dyDescent="0.3">
      <c r="A34" s="40"/>
      <c r="B34" s="40"/>
      <c r="C34" s="40"/>
      <c r="D34" s="40"/>
      <c r="E34" s="40"/>
      <c r="F34" s="40"/>
    </row>
    <row r="35" spans="1:6" x14ac:dyDescent="0.3">
      <c r="A35" s="115" t="s">
        <v>31</v>
      </c>
      <c r="B35" s="115"/>
      <c r="C35" s="115"/>
      <c r="D35" s="115"/>
      <c r="E35" s="40"/>
      <c r="F35" s="40"/>
    </row>
    <row r="36" spans="1:6" ht="24" x14ac:dyDescent="0.3">
      <c r="A36" s="18" t="s">
        <v>30</v>
      </c>
      <c r="B36" s="19" t="s">
        <v>1</v>
      </c>
      <c r="C36" s="19" t="s">
        <v>12</v>
      </c>
      <c r="D36" s="19" t="s">
        <v>2</v>
      </c>
      <c r="E36" s="40"/>
      <c r="F36" s="40"/>
    </row>
    <row r="37" spans="1:6" x14ac:dyDescent="0.3">
      <c r="A37" s="10" t="s">
        <v>24</v>
      </c>
      <c r="B37" s="13">
        <v>4.1999999999999997E-3</v>
      </c>
      <c r="C37" s="11">
        <f t="shared" ref="C37:C42" si="4">B37*$D$5</f>
        <v>9.2899999999999991</v>
      </c>
      <c r="D37" s="11">
        <f t="shared" ref="D37:D42" si="5">B37*$E$5</f>
        <v>111.43</v>
      </c>
      <c r="E37" s="37"/>
      <c r="F37" s="1"/>
    </row>
    <row r="38" spans="1:6" x14ac:dyDescent="0.3">
      <c r="A38" s="10" t="s">
        <v>25</v>
      </c>
      <c r="B38" s="14">
        <v>3.3E-4</v>
      </c>
      <c r="C38" s="11">
        <f t="shared" si="4"/>
        <v>0.73</v>
      </c>
      <c r="D38" s="11">
        <f t="shared" si="5"/>
        <v>8.75</v>
      </c>
      <c r="E38" s="37"/>
      <c r="F38" s="1"/>
    </row>
    <row r="39" spans="1:6" x14ac:dyDescent="0.3">
      <c r="A39" s="10" t="s">
        <v>26</v>
      </c>
      <c r="B39" s="14">
        <v>1.6000000000000001E-4</v>
      </c>
      <c r="C39" s="11">
        <f t="shared" si="4"/>
        <v>0.35</v>
      </c>
      <c r="D39" s="11">
        <f t="shared" si="5"/>
        <v>4.24</v>
      </c>
      <c r="E39" s="37"/>
      <c r="F39" s="1"/>
    </row>
    <row r="40" spans="1:6" x14ac:dyDescent="0.3">
      <c r="A40" s="10" t="s">
        <v>27</v>
      </c>
      <c r="B40" s="13">
        <v>1.9400000000000001E-2</v>
      </c>
      <c r="C40" s="11">
        <f t="shared" si="4"/>
        <v>42.89</v>
      </c>
      <c r="D40" s="11">
        <f t="shared" si="5"/>
        <v>514.67999999999995</v>
      </c>
      <c r="E40" s="37"/>
      <c r="F40" s="1"/>
    </row>
    <row r="41" spans="1:6" ht="24" x14ac:dyDescent="0.3">
      <c r="A41" s="10" t="s">
        <v>28</v>
      </c>
      <c r="B41" s="13">
        <f>B40*B23</f>
        <v>7.1000000000000004E-3</v>
      </c>
      <c r="C41" s="11">
        <f t="shared" si="4"/>
        <v>15.7</v>
      </c>
      <c r="D41" s="11">
        <f t="shared" si="5"/>
        <v>188.36</v>
      </c>
      <c r="E41" s="37"/>
      <c r="F41" s="1"/>
    </row>
    <row r="42" spans="1:6" x14ac:dyDescent="0.3">
      <c r="A42" s="10" t="s">
        <v>29</v>
      </c>
      <c r="B42" s="14">
        <v>7.6999999999999996E-4</v>
      </c>
      <c r="C42" s="11">
        <f t="shared" si="4"/>
        <v>1.7</v>
      </c>
      <c r="D42" s="11">
        <f t="shared" si="5"/>
        <v>20.43</v>
      </c>
      <c r="E42" s="37"/>
      <c r="F42" s="1"/>
    </row>
    <row r="43" spans="1:6" x14ac:dyDescent="0.3">
      <c r="A43" s="19" t="s">
        <v>38</v>
      </c>
      <c r="B43" s="20">
        <f>SUM(B37:B42)</f>
        <v>3.2000000000000001E-2</v>
      </c>
      <c r="C43" s="21">
        <f>SUM(C37:C42)</f>
        <v>70.66</v>
      </c>
      <c r="D43" s="21">
        <f>C43*12</f>
        <v>847.92</v>
      </c>
      <c r="E43" s="40"/>
      <c r="F43" s="40"/>
    </row>
    <row r="44" spans="1:6" x14ac:dyDescent="0.3">
      <c r="A44" s="49"/>
      <c r="B44" s="50"/>
      <c r="C44" s="50"/>
      <c r="D44" s="50"/>
      <c r="E44" s="40"/>
      <c r="F44" s="40"/>
    </row>
    <row r="45" spans="1:6" ht="24" x14ac:dyDescent="0.3">
      <c r="A45" s="18" t="s">
        <v>32</v>
      </c>
      <c r="B45" s="19" t="s">
        <v>1</v>
      </c>
      <c r="C45" s="19" t="s">
        <v>12</v>
      </c>
      <c r="D45" s="19" t="s">
        <v>2</v>
      </c>
      <c r="E45" s="39"/>
      <c r="F45" s="39"/>
    </row>
    <row r="46" spans="1:6" x14ac:dyDescent="0.3">
      <c r="A46" s="10" t="s">
        <v>33</v>
      </c>
      <c r="B46" s="13">
        <v>8.3299999999999999E-2</v>
      </c>
      <c r="C46" s="11">
        <f>B46*$D$5</f>
        <v>184.16</v>
      </c>
      <c r="D46" s="11">
        <f>B46*$E$5</f>
        <v>2209.96</v>
      </c>
      <c r="E46" s="37"/>
      <c r="F46" s="37"/>
    </row>
    <row r="47" spans="1:6" x14ac:dyDescent="0.3">
      <c r="A47" s="10" t="s">
        <v>34</v>
      </c>
      <c r="B47" s="13">
        <v>8.0000000000000004E-4</v>
      </c>
      <c r="C47" s="11">
        <f>B47*$D$5</f>
        <v>1.77</v>
      </c>
      <c r="D47" s="11">
        <f>B47*$E$5</f>
        <v>21.22</v>
      </c>
      <c r="E47" s="37"/>
      <c r="F47" s="37"/>
    </row>
    <row r="48" spans="1:6" ht="24" x14ac:dyDescent="0.3">
      <c r="A48" s="10" t="s">
        <v>35</v>
      </c>
      <c r="B48" s="13">
        <v>2.9999999999999997E-4</v>
      </c>
      <c r="C48" s="11">
        <f>B48*$D$5</f>
        <v>0.66</v>
      </c>
      <c r="D48" s="11">
        <f>B48*$E$5</f>
        <v>7.96</v>
      </c>
      <c r="E48" s="37"/>
      <c r="F48" s="37"/>
    </row>
    <row r="49" spans="1:6" ht="24" x14ac:dyDescent="0.3">
      <c r="A49" s="10" t="s">
        <v>36</v>
      </c>
      <c r="B49" s="13">
        <v>1.2999999999999999E-3</v>
      </c>
      <c r="C49" s="11">
        <f>B49*$D$5</f>
        <v>2.87</v>
      </c>
      <c r="D49" s="11">
        <f>B49*$E$5</f>
        <v>34.49</v>
      </c>
      <c r="E49" s="37"/>
      <c r="F49" s="37"/>
    </row>
    <row r="50" spans="1:6" x14ac:dyDescent="0.3">
      <c r="A50" s="10" t="s">
        <v>37</v>
      </c>
      <c r="B50" s="13">
        <v>8.2000000000000007E-3</v>
      </c>
      <c r="C50" s="11">
        <f>B50*$D$5</f>
        <v>18.13</v>
      </c>
      <c r="D50" s="11">
        <f>B50*$E$5</f>
        <v>217.55</v>
      </c>
      <c r="E50" s="37"/>
      <c r="F50" s="37"/>
    </row>
    <row r="51" spans="1:6" x14ac:dyDescent="0.3">
      <c r="A51" s="19" t="s">
        <v>39</v>
      </c>
      <c r="B51" s="20">
        <f>SUM(B46:B50)</f>
        <v>9.3899999999999997E-2</v>
      </c>
      <c r="C51" s="21">
        <f>SUM(C46:C50)</f>
        <v>207.59</v>
      </c>
      <c r="D51" s="21">
        <f>C51*12</f>
        <v>2491.08</v>
      </c>
      <c r="E51" s="39"/>
      <c r="F51" s="39"/>
    </row>
    <row r="52" spans="1:6" ht="24.75" customHeight="1" x14ac:dyDescent="0.3">
      <c r="A52" s="116" t="s">
        <v>40</v>
      </c>
      <c r="B52" s="117"/>
      <c r="C52" s="46">
        <f>SUM(C43+C51)</f>
        <v>278.25</v>
      </c>
      <c r="D52" s="47">
        <f>SUM(D43+D51)</f>
        <v>3339</v>
      </c>
      <c r="E52" s="39"/>
      <c r="F52" s="39"/>
    </row>
    <row r="53" spans="1:6" x14ac:dyDescent="0.3">
      <c r="A53" s="49"/>
      <c r="B53" s="50"/>
      <c r="C53" s="50"/>
      <c r="D53" s="50"/>
      <c r="E53" s="51"/>
      <c r="F53" s="51"/>
    </row>
    <row r="54" spans="1:6" x14ac:dyDescent="0.3">
      <c r="A54" s="118" t="s">
        <v>115</v>
      </c>
      <c r="B54" s="119"/>
      <c r="C54" s="119"/>
      <c r="D54" s="119"/>
      <c r="E54" s="119"/>
      <c r="F54" s="120"/>
    </row>
    <row r="55" spans="1:6" ht="24" x14ac:dyDescent="0.3">
      <c r="A55" s="22" t="s">
        <v>116</v>
      </c>
      <c r="B55" s="23" t="s">
        <v>90</v>
      </c>
      <c r="C55" s="23" t="s">
        <v>104</v>
      </c>
      <c r="D55" s="23" t="s">
        <v>0</v>
      </c>
      <c r="E55" s="23" t="s">
        <v>12</v>
      </c>
      <c r="F55" s="23" t="s">
        <v>2</v>
      </c>
    </row>
    <row r="56" spans="1:6" x14ac:dyDescent="0.3">
      <c r="A56" s="121" t="s">
        <v>95</v>
      </c>
      <c r="B56" s="122"/>
      <c r="C56" s="122"/>
      <c r="D56" s="122"/>
      <c r="E56" s="122"/>
      <c r="F56" s="123"/>
    </row>
    <row r="57" spans="1:6" x14ac:dyDescent="0.3">
      <c r="A57" s="9" t="s">
        <v>117</v>
      </c>
      <c r="B57" s="2">
        <v>2</v>
      </c>
      <c r="C57" s="45">
        <f>B57*$C$5</f>
        <v>2</v>
      </c>
      <c r="D57" s="58">
        <v>49.1</v>
      </c>
      <c r="E57" s="3">
        <f>D57*C57/12</f>
        <v>8.18</v>
      </c>
      <c r="F57" s="3">
        <f>D57*C57</f>
        <v>98.2</v>
      </c>
    </row>
    <row r="58" spans="1:6" x14ac:dyDescent="0.3">
      <c r="A58" s="9" t="s">
        <v>118</v>
      </c>
      <c r="B58" s="2">
        <v>2</v>
      </c>
      <c r="C58" s="45">
        <f t="shared" ref="C58:C64" si="6">B58*$C$5</f>
        <v>2</v>
      </c>
      <c r="D58" s="58">
        <v>19.899999999999999</v>
      </c>
      <c r="E58" s="3">
        <f>D58*C58/12</f>
        <v>3.32</v>
      </c>
      <c r="F58" s="3">
        <f t="shared" ref="F58:F64" si="7">D58*C58</f>
        <v>39.799999999999997</v>
      </c>
    </row>
    <row r="59" spans="1:6" x14ac:dyDescent="0.3">
      <c r="A59" s="9" t="s">
        <v>119</v>
      </c>
      <c r="B59" s="2">
        <v>2</v>
      </c>
      <c r="C59" s="45">
        <f t="shared" si="6"/>
        <v>2</v>
      </c>
      <c r="D59" s="58">
        <v>65.38</v>
      </c>
      <c r="E59" s="3">
        <f t="shared" ref="E59:E64" si="8">D59*C59/12</f>
        <v>10.9</v>
      </c>
      <c r="F59" s="3">
        <f t="shared" si="7"/>
        <v>130.76</v>
      </c>
    </row>
    <row r="60" spans="1:6" x14ac:dyDescent="0.3">
      <c r="A60" s="9" t="s">
        <v>120</v>
      </c>
      <c r="B60" s="2">
        <v>2</v>
      </c>
      <c r="C60" s="45">
        <f t="shared" si="6"/>
        <v>2</v>
      </c>
      <c r="D60" s="58">
        <v>27.85</v>
      </c>
      <c r="E60" s="3">
        <f t="shared" si="8"/>
        <v>4.6399999999999997</v>
      </c>
      <c r="F60" s="3">
        <f t="shared" si="7"/>
        <v>55.7</v>
      </c>
    </row>
    <row r="61" spans="1:6" x14ac:dyDescent="0.3">
      <c r="A61" s="9" t="s">
        <v>121</v>
      </c>
      <c r="B61" s="2">
        <v>24</v>
      </c>
      <c r="C61" s="45">
        <f t="shared" si="6"/>
        <v>24</v>
      </c>
      <c r="D61" s="58">
        <v>12.9</v>
      </c>
      <c r="E61" s="3">
        <f t="shared" si="8"/>
        <v>25.8</v>
      </c>
      <c r="F61" s="3">
        <f t="shared" si="7"/>
        <v>309.60000000000002</v>
      </c>
    </row>
    <row r="62" spans="1:6" x14ac:dyDescent="0.3">
      <c r="A62" s="9" t="s">
        <v>122</v>
      </c>
      <c r="B62" s="2">
        <v>2</v>
      </c>
      <c r="C62" s="45">
        <f t="shared" si="6"/>
        <v>2</v>
      </c>
      <c r="D62" s="59">
        <v>73</v>
      </c>
      <c r="E62" s="3">
        <f t="shared" si="8"/>
        <v>12.17</v>
      </c>
      <c r="F62" s="3">
        <f t="shared" si="7"/>
        <v>146</v>
      </c>
    </row>
    <row r="63" spans="1:6" x14ac:dyDescent="0.3">
      <c r="A63" s="9" t="s">
        <v>123</v>
      </c>
      <c r="B63" s="2">
        <v>1</v>
      </c>
      <c r="C63" s="45">
        <f t="shared" si="6"/>
        <v>1</v>
      </c>
      <c r="D63" s="58">
        <v>37.9</v>
      </c>
      <c r="E63" s="3">
        <f t="shared" si="8"/>
        <v>3.16</v>
      </c>
      <c r="F63" s="3">
        <f t="shared" si="7"/>
        <v>37.9</v>
      </c>
    </row>
    <row r="64" spans="1:6" x14ac:dyDescent="0.3">
      <c r="A64" s="9" t="s">
        <v>124</v>
      </c>
      <c r="B64" s="2">
        <v>2</v>
      </c>
      <c r="C64" s="45">
        <f t="shared" si="6"/>
        <v>2</v>
      </c>
      <c r="D64" s="58">
        <v>25.02</v>
      </c>
      <c r="E64" s="3">
        <f t="shared" si="8"/>
        <v>4.17</v>
      </c>
      <c r="F64" s="3">
        <f t="shared" si="7"/>
        <v>50.04</v>
      </c>
    </row>
    <row r="65" spans="1:6" x14ac:dyDescent="0.3">
      <c r="A65" s="124" t="s">
        <v>96</v>
      </c>
      <c r="B65" s="124"/>
      <c r="C65" s="57">
        <f>SUM(E57:E64)</f>
        <v>72.34</v>
      </c>
      <c r="D65" s="125" t="s">
        <v>3</v>
      </c>
      <c r="E65" s="125"/>
      <c r="F65" s="56">
        <f>C65*12</f>
        <v>868.08</v>
      </c>
    </row>
    <row r="66" spans="1:6" x14ac:dyDescent="0.3">
      <c r="A66" s="127"/>
      <c r="B66" s="127"/>
      <c r="C66" s="127"/>
      <c r="D66" s="127"/>
      <c r="E66" s="127"/>
      <c r="F66" s="127"/>
    </row>
    <row r="67" spans="1:6" x14ac:dyDescent="0.3">
      <c r="A67" s="126" t="s">
        <v>97</v>
      </c>
      <c r="B67" s="126"/>
      <c r="C67" s="126"/>
      <c r="D67" s="126"/>
      <c r="E67" s="126"/>
      <c r="F67" s="126"/>
    </row>
    <row r="68" spans="1:6" x14ac:dyDescent="0.3">
      <c r="A68" s="128" t="s">
        <v>41</v>
      </c>
      <c r="B68" s="128" t="s">
        <v>43</v>
      </c>
      <c r="C68" s="129" t="s">
        <v>12</v>
      </c>
      <c r="D68" s="129"/>
      <c r="E68" s="129" t="s">
        <v>2</v>
      </c>
      <c r="F68" s="129"/>
    </row>
    <row r="69" spans="1:6" x14ac:dyDescent="0.3">
      <c r="A69" s="130" t="s">
        <v>99</v>
      </c>
      <c r="B69" s="130"/>
      <c r="C69" s="131">
        <f>SUM(C33,C52)</f>
        <v>4475.66</v>
      </c>
      <c r="D69" s="131"/>
      <c r="E69" s="131">
        <f>C69*12</f>
        <v>53707.92</v>
      </c>
      <c r="F69" s="131"/>
    </row>
    <row r="70" spans="1:6" ht="20.25" customHeight="1" x14ac:dyDescent="0.3">
      <c r="A70" s="130"/>
      <c r="B70" s="130"/>
      <c r="C70" s="131"/>
      <c r="D70" s="131"/>
      <c r="E70" s="131"/>
      <c r="F70" s="131"/>
    </row>
    <row r="71" spans="1:6" x14ac:dyDescent="0.3">
      <c r="A71" s="28" t="s">
        <v>52</v>
      </c>
      <c r="B71" s="35">
        <v>0.03</v>
      </c>
      <c r="C71" s="133">
        <f>C69*B71</f>
        <v>134.27000000000001</v>
      </c>
      <c r="D71" s="133"/>
      <c r="E71" s="133">
        <f>C71*12</f>
        <v>1611.24</v>
      </c>
      <c r="F71" s="133"/>
    </row>
    <row r="72" spans="1:6" x14ac:dyDescent="0.3">
      <c r="A72" s="134" t="s">
        <v>100</v>
      </c>
      <c r="B72" s="134"/>
      <c r="C72" s="131">
        <f>C69+C71</f>
        <v>4609.93</v>
      </c>
      <c r="D72" s="131"/>
      <c r="E72" s="131">
        <f>E69+E71</f>
        <v>55319.16</v>
      </c>
      <c r="F72" s="131"/>
    </row>
    <row r="73" spans="1:6" x14ac:dyDescent="0.3">
      <c r="A73" s="134"/>
      <c r="B73" s="134"/>
      <c r="C73" s="131"/>
      <c r="D73" s="131"/>
      <c r="E73" s="131"/>
      <c r="F73" s="131"/>
    </row>
    <row r="74" spans="1:6" x14ac:dyDescent="0.3">
      <c r="A74" s="28" t="s">
        <v>44</v>
      </c>
      <c r="B74" s="35">
        <v>6.7900000000000002E-2</v>
      </c>
      <c r="C74" s="133">
        <f>C72*B74</f>
        <v>313.01</v>
      </c>
      <c r="D74" s="133"/>
      <c r="E74" s="133">
        <f>C74*12</f>
        <v>3756.12</v>
      </c>
      <c r="F74" s="133"/>
    </row>
    <row r="75" spans="1:6" x14ac:dyDescent="0.3">
      <c r="A75" s="135" t="s">
        <v>45</v>
      </c>
      <c r="B75" s="135"/>
      <c r="C75" s="135"/>
      <c r="D75" s="135"/>
      <c r="E75" s="29"/>
      <c r="F75" s="30"/>
    </row>
    <row r="76" spans="1:6" x14ac:dyDescent="0.3">
      <c r="A76" s="130" t="s">
        <v>46</v>
      </c>
      <c r="B76" s="130"/>
      <c r="C76" s="136">
        <f>C74+C71+C69</f>
        <v>4922.9399999999996</v>
      </c>
      <c r="D76" s="136"/>
      <c r="E76" s="136">
        <f>E74+E71+E69</f>
        <v>59075.28</v>
      </c>
      <c r="F76" s="136"/>
    </row>
    <row r="77" spans="1:6" x14ac:dyDescent="0.3">
      <c r="A77" s="137" t="s">
        <v>47</v>
      </c>
      <c r="B77" s="138"/>
      <c r="C77" s="138"/>
      <c r="D77" s="138"/>
      <c r="E77" s="138"/>
      <c r="F77" s="139"/>
    </row>
    <row r="78" spans="1:6" x14ac:dyDescent="0.3">
      <c r="A78" s="31" t="s">
        <v>48</v>
      </c>
      <c r="B78" s="31"/>
      <c r="C78" s="132" t="s">
        <v>12</v>
      </c>
      <c r="D78" s="132"/>
      <c r="E78" s="132" t="s">
        <v>2</v>
      </c>
      <c r="F78" s="132"/>
    </row>
    <row r="79" spans="1:6" x14ac:dyDescent="0.3">
      <c r="A79" s="32" t="s">
        <v>49</v>
      </c>
      <c r="B79" s="35">
        <v>7.5999999999999998E-2</v>
      </c>
      <c r="C79" s="133">
        <f>($C$76)*B79/(1-($B$82))</f>
        <v>436.32</v>
      </c>
      <c r="D79" s="133"/>
      <c r="E79" s="133">
        <f>C79*12</f>
        <v>5235.84</v>
      </c>
      <c r="F79" s="133"/>
    </row>
    <row r="80" spans="1:6" x14ac:dyDescent="0.3">
      <c r="A80" s="32" t="s">
        <v>50</v>
      </c>
      <c r="B80" s="35">
        <v>1.6500000000000001E-2</v>
      </c>
      <c r="C80" s="133">
        <f t="shared" ref="C80:C81" si="9">($C$76)*B80/(1-($B$82))</f>
        <v>94.73</v>
      </c>
      <c r="D80" s="133"/>
      <c r="E80" s="133">
        <f t="shared" ref="E80:E81" si="10">C80*12</f>
        <v>1136.76</v>
      </c>
      <c r="F80" s="133"/>
    </row>
    <row r="81" spans="1:6" x14ac:dyDescent="0.3">
      <c r="A81" s="32" t="s">
        <v>53</v>
      </c>
      <c r="B81" s="35">
        <v>0.05</v>
      </c>
      <c r="C81" s="133">
        <f t="shared" si="9"/>
        <v>287.05</v>
      </c>
      <c r="D81" s="133"/>
      <c r="E81" s="133">
        <f t="shared" si="10"/>
        <v>3444.6</v>
      </c>
      <c r="F81" s="133"/>
    </row>
    <row r="82" spans="1:6" x14ac:dyDescent="0.3">
      <c r="A82" s="33" t="s">
        <v>51</v>
      </c>
      <c r="B82" s="34">
        <f>SUM(B79:B81)</f>
        <v>0.14249999999999999</v>
      </c>
      <c r="C82" s="133">
        <f>SUM(C79:D81)</f>
        <v>818.1</v>
      </c>
      <c r="D82" s="133"/>
      <c r="E82" s="144">
        <f>SUM(E79:F81)</f>
        <v>9817.2000000000007</v>
      </c>
      <c r="F82" s="145"/>
    </row>
    <row r="83" spans="1:6" x14ac:dyDescent="0.3">
      <c r="A83" s="146" t="s">
        <v>98</v>
      </c>
      <c r="B83" s="146"/>
      <c r="C83" s="140">
        <f>C71+C74+C82</f>
        <v>1265.3800000000001</v>
      </c>
      <c r="D83" s="140"/>
      <c r="E83" s="140">
        <f>C83*12</f>
        <v>15184.56</v>
      </c>
      <c r="F83" s="140"/>
    </row>
    <row r="84" spans="1:6" x14ac:dyDescent="0.3">
      <c r="A84" s="141"/>
      <c r="B84" s="142"/>
      <c r="C84" s="142"/>
      <c r="D84" s="142"/>
      <c r="E84" s="142"/>
      <c r="F84" s="143"/>
    </row>
    <row r="85" spans="1:6" x14ac:dyDescent="0.3">
      <c r="A85" s="148" t="s">
        <v>54</v>
      </c>
      <c r="B85" s="151" t="s">
        <v>12</v>
      </c>
      <c r="C85" s="151"/>
      <c r="D85" s="152" t="s">
        <v>3</v>
      </c>
      <c r="E85" s="153"/>
      <c r="F85" s="154"/>
    </row>
    <row r="86" spans="1:6" x14ac:dyDescent="0.3">
      <c r="A86" s="149"/>
      <c r="B86" s="25" t="s">
        <v>5</v>
      </c>
      <c r="C86" s="26">
        <f>C33</f>
        <v>4197.41</v>
      </c>
      <c r="D86" s="25" t="s">
        <v>5</v>
      </c>
      <c r="E86" s="155">
        <f>D33</f>
        <v>50368.92</v>
      </c>
      <c r="F86" s="156"/>
    </row>
    <row r="87" spans="1:6" x14ac:dyDescent="0.3">
      <c r="A87" s="149"/>
      <c r="B87" s="25" t="s">
        <v>6</v>
      </c>
      <c r="C87" s="26">
        <f>C52</f>
        <v>278.25</v>
      </c>
      <c r="D87" s="25" t="s">
        <v>6</v>
      </c>
      <c r="E87" s="155">
        <f>D52</f>
        <v>3339</v>
      </c>
      <c r="F87" s="156"/>
    </row>
    <row r="88" spans="1:6" x14ac:dyDescent="0.3">
      <c r="A88" s="149"/>
      <c r="B88" s="25" t="s">
        <v>7</v>
      </c>
      <c r="C88" s="26">
        <f>C65</f>
        <v>72.34</v>
      </c>
      <c r="D88" s="25" t="s">
        <v>7</v>
      </c>
      <c r="E88" s="155">
        <f>F65</f>
        <v>868.08</v>
      </c>
      <c r="F88" s="156"/>
    </row>
    <row r="89" spans="1:6" x14ac:dyDescent="0.3">
      <c r="A89" s="149"/>
      <c r="B89" s="25" t="s">
        <v>8</v>
      </c>
      <c r="C89" s="26">
        <f>C83</f>
        <v>1265.3800000000001</v>
      </c>
      <c r="D89" s="25" t="s">
        <v>8</v>
      </c>
      <c r="E89" s="155">
        <f>E83</f>
        <v>15184.56</v>
      </c>
      <c r="F89" s="156"/>
    </row>
    <row r="90" spans="1:6" x14ac:dyDescent="0.3">
      <c r="A90" s="150"/>
      <c r="B90" s="24" t="s">
        <v>12</v>
      </c>
      <c r="C90" s="27">
        <f>SUM(C86:C89)</f>
        <v>5813.38</v>
      </c>
      <c r="D90" s="24" t="s">
        <v>42</v>
      </c>
      <c r="E90" s="157">
        <f>SUM(E86:E89)</f>
        <v>69760.56</v>
      </c>
      <c r="F90" s="158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ht="17.399999999999999" x14ac:dyDescent="0.3">
      <c r="A93" s="102" t="s">
        <v>130</v>
      </c>
      <c r="B93" s="103"/>
      <c r="C93" s="103"/>
      <c r="D93" s="104"/>
      <c r="E93" s="102">
        <v>1</v>
      </c>
      <c r="F93" s="104"/>
    </row>
    <row r="94" spans="1:6" ht="17.399999999999999" x14ac:dyDescent="0.3">
      <c r="A94" s="102" t="s">
        <v>131</v>
      </c>
      <c r="B94" s="103"/>
      <c r="C94" s="103"/>
      <c r="D94" s="104"/>
      <c r="E94" s="101">
        <f>C90*E93</f>
        <v>5813.38</v>
      </c>
      <c r="F94" s="101"/>
    </row>
    <row r="95" spans="1:6" ht="17.399999999999999" x14ac:dyDescent="0.3">
      <c r="A95" s="102" t="s">
        <v>132</v>
      </c>
      <c r="B95" s="103"/>
      <c r="C95" s="103"/>
      <c r="D95" s="104"/>
      <c r="E95" s="101">
        <f>E94*12</f>
        <v>69760.56</v>
      </c>
      <c r="F95" s="101"/>
    </row>
  </sheetData>
  <mergeCells count="62">
    <mergeCell ref="A95:D95"/>
    <mergeCell ref="E95:F95"/>
    <mergeCell ref="A93:D93"/>
    <mergeCell ref="E93:F93"/>
    <mergeCell ref="A94:D94"/>
    <mergeCell ref="E94:F94"/>
    <mergeCell ref="A84:F84"/>
    <mergeCell ref="A85:A90"/>
    <mergeCell ref="B85:C85"/>
    <mergeCell ref="D85:F85"/>
    <mergeCell ref="E86:F86"/>
    <mergeCell ref="E87:F87"/>
    <mergeCell ref="E88:F88"/>
    <mergeCell ref="E89:F89"/>
    <mergeCell ref="E90:F90"/>
    <mergeCell ref="C81:D81"/>
    <mergeCell ref="E81:F81"/>
    <mergeCell ref="C82:D82"/>
    <mergeCell ref="E82:F82"/>
    <mergeCell ref="A83:B83"/>
    <mergeCell ref="C83:D83"/>
    <mergeCell ref="E83:F83"/>
    <mergeCell ref="C80:D80"/>
    <mergeCell ref="E80:F80"/>
    <mergeCell ref="C74:D74"/>
    <mergeCell ref="E74:F74"/>
    <mergeCell ref="A75:D75"/>
    <mergeCell ref="A76:B76"/>
    <mergeCell ref="C76:D76"/>
    <mergeCell ref="E76:F76"/>
    <mergeCell ref="A77:F77"/>
    <mergeCell ref="C78:D78"/>
    <mergeCell ref="E78:F78"/>
    <mergeCell ref="C79:D79"/>
    <mergeCell ref="E79:F79"/>
    <mergeCell ref="A72:B73"/>
    <mergeCell ref="C72:D73"/>
    <mergeCell ref="E72:F73"/>
    <mergeCell ref="A65:B65"/>
    <mergeCell ref="D65:E65"/>
    <mergeCell ref="A66:F66"/>
    <mergeCell ref="A67:F67"/>
    <mergeCell ref="A68:B68"/>
    <mergeCell ref="C68:D68"/>
    <mergeCell ref="E68:F68"/>
    <mergeCell ref="A69:B70"/>
    <mergeCell ref="C69:D70"/>
    <mergeCell ref="E69:F70"/>
    <mergeCell ref="C71:D71"/>
    <mergeCell ref="E71:F71"/>
    <mergeCell ref="A56:F56"/>
    <mergeCell ref="A1:E1"/>
    <mergeCell ref="A2:E2"/>
    <mergeCell ref="A3:E3"/>
    <mergeCell ref="C5:C7"/>
    <mergeCell ref="D5:D7"/>
    <mergeCell ref="E5:E7"/>
    <mergeCell ref="A8:D8"/>
    <mergeCell ref="A33:B33"/>
    <mergeCell ref="A35:D35"/>
    <mergeCell ref="A52:B52"/>
    <mergeCell ref="A54:F54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56BF-0AA4-4A2D-AD9F-50F71145C466}">
  <sheetPr>
    <pageSetUpPr fitToPage="1"/>
  </sheetPr>
  <dimension ref="A1:F95"/>
  <sheetViews>
    <sheetView topLeftCell="A73" workbookViewId="0">
      <selection activeCell="E94" sqref="E94:F94"/>
    </sheetView>
  </sheetViews>
  <sheetFormatPr defaultRowHeight="14.4" x14ac:dyDescent="0.3"/>
  <cols>
    <col min="1" max="1" width="45.109375" customWidth="1"/>
    <col min="2" max="3" width="12" customWidth="1"/>
    <col min="4" max="4" width="14" customWidth="1"/>
    <col min="5" max="5" width="13.109375" customWidth="1"/>
    <col min="6" max="6" width="15.109375" customWidth="1"/>
  </cols>
  <sheetData>
    <row r="1" spans="1:6" ht="27.75" customHeight="1" x14ac:dyDescent="0.3">
      <c r="A1" s="107" t="s">
        <v>138</v>
      </c>
      <c r="B1" s="108"/>
      <c r="C1" s="108"/>
      <c r="D1" s="108"/>
      <c r="E1" s="109"/>
      <c r="F1" s="1"/>
    </row>
    <row r="2" spans="1:6" x14ac:dyDescent="0.3">
      <c r="A2" s="107" t="s">
        <v>139</v>
      </c>
      <c r="B2" s="108"/>
      <c r="C2" s="108"/>
      <c r="D2" s="108"/>
      <c r="E2" s="109"/>
      <c r="F2" s="1"/>
    </row>
    <row r="3" spans="1:6" x14ac:dyDescent="0.3">
      <c r="A3" s="110" t="s">
        <v>23</v>
      </c>
      <c r="B3" s="110"/>
      <c r="C3" s="110"/>
      <c r="D3" s="110"/>
      <c r="E3" s="110"/>
      <c r="F3" s="1"/>
    </row>
    <row r="4" spans="1:6" ht="24" x14ac:dyDescent="0.3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3">
      <c r="A5" s="4" t="s">
        <v>135</v>
      </c>
      <c r="B5" s="6">
        <f>1764/220*100</f>
        <v>801.82</v>
      </c>
      <c r="C5" s="113">
        <v>1</v>
      </c>
      <c r="D5" s="114">
        <f>SUM(B5:B7)*C5</f>
        <v>1409.02</v>
      </c>
      <c r="E5" s="114">
        <f>D5*12</f>
        <v>16908.240000000002</v>
      </c>
      <c r="F5" s="1"/>
    </row>
    <row r="6" spans="1:6" x14ac:dyDescent="0.3">
      <c r="A6" s="4" t="s">
        <v>112</v>
      </c>
      <c r="B6" s="6">
        <v>0</v>
      </c>
      <c r="C6" s="113"/>
      <c r="D6" s="114"/>
      <c r="E6" s="114"/>
      <c r="F6" s="1"/>
    </row>
    <row r="7" spans="1:6" x14ac:dyDescent="0.3">
      <c r="A7" s="65" t="s">
        <v>173</v>
      </c>
      <c r="B7" s="63">
        <f>1518*40%</f>
        <v>607.20000000000005</v>
      </c>
      <c r="C7" s="113"/>
      <c r="D7" s="114"/>
      <c r="E7" s="114"/>
      <c r="F7" s="1"/>
    </row>
    <row r="8" spans="1:6" x14ac:dyDescent="0.3">
      <c r="A8" s="111"/>
      <c r="B8" s="112"/>
      <c r="C8" s="112"/>
      <c r="D8" s="112"/>
      <c r="E8" s="53"/>
      <c r="F8" s="1"/>
    </row>
    <row r="9" spans="1:6" x14ac:dyDescent="0.3">
      <c r="A9" s="8" t="s">
        <v>13</v>
      </c>
      <c r="B9" s="15" t="s">
        <v>1</v>
      </c>
      <c r="C9" s="15" t="s">
        <v>12</v>
      </c>
      <c r="D9" s="15" t="s">
        <v>2</v>
      </c>
      <c r="E9" s="40"/>
      <c r="F9" s="1"/>
    </row>
    <row r="10" spans="1:6" x14ac:dyDescent="0.3">
      <c r="A10" s="4" t="s">
        <v>20</v>
      </c>
      <c r="B10" s="5">
        <v>8.3299999999999999E-2</v>
      </c>
      <c r="C10" s="6">
        <f>B10*$D$5</f>
        <v>117.37</v>
      </c>
      <c r="D10" s="6">
        <f>B10*$E$5</f>
        <v>1408.46</v>
      </c>
      <c r="E10" s="54"/>
      <c r="F10" s="37"/>
    </row>
    <row r="11" spans="1:6" ht="36" x14ac:dyDescent="0.3">
      <c r="A11" s="4" t="s">
        <v>102</v>
      </c>
      <c r="B11" s="5">
        <v>2.7799999999999998E-2</v>
      </c>
      <c r="C11" s="6">
        <f>B11*$D$5</f>
        <v>39.17</v>
      </c>
      <c r="D11" s="6">
        <f>B11*$E$5</f>
        <v>470.05</v>
      </c>
      <c r="E11" s="37"/>
      <c r="F11" s="37"/>
    </row>
    <row r="12" spans="1:6" x14ac:dyDescent="0.3">
      <c r="A12" s="15" t="s">
        <v>14</v>
      </c>
      <c r="B12" s="16">
        <f>SUM(B10:B11)</f>
        <v>0.1111</v>
      </c>
      <c r="C12" s="17">
        <f>SUM(C10:C11)</f>
        <v>156.54</v>
      </c>
      <c r="D12" s="17">
        <f>C12*12</f>
        <v>1878.48</v>
      </c>
      <c r="E12" s="40"/>
      <c r="F12" s="40"/>
    </row>
    <row r="13" spans="1:6" x14ac:dyDescent="0.3">
      <c r="A13" s="52"/>
      <c r="B13" s="52"/>
      <c r="C13" s="52"/>
      <c r="D13" s="55"/>
      <c r="E13" s="53"/>
      <c r="F13" s="53"/>
    </row>
    <row r="14" spans="1:6" x14ac:dyDescent="0.3">
      <c r="A14" s="8" t="s">
        <v>15</v>
      </c>
      <c r="B14" s="15" t="s">
        <v>1</v>
      </c>
      <c r="C14" s="15" t="s">
        <v>12</v>
      </c>
      <c r="D14" s="15" t="s">
        <v>2</v>
      </c>
      <c r="E14" s="37"/>
      <c r="F14" s="37"/>
    </row>
    <row r="15" spans="1:6" x14ac:dyDescent="0.3">
      <c r="A15" s="4" t="s">
        <v>21</v>
      </c>
      <c r="B15" s="5">
        <v>0.2</v>
      </c>
      <c r="C15" s="6">
        <f t="shared" ref="C15:C22" si="0">B15*$D$5</f>
        <v>281.8</v>
      </c>
      <c r="D15" s="6">
        <f t="shared" ref="D15:D22" si="1">B15*$E$5</f>
        <v>3381.65</v>
      </c>
      <c r="E15" s="54"/>
      <c r="F15" s="37"/>
    </row>
    <row r="16" spans="1:6" x14ac:dyDescent="0.3">
      <c r="A16" s="4" t="s">
        <v>57</v>
      </c>
      <c r="B16" s="5">
        <v>2.5000000000000001E-2</v>
      </c>
      <c r="C16" s="6">
        <f t="shared" si="0"/>
        <v>35.229999999999997</v>
      </c>
      <c r="D16" s="6">
        <f t="shared" si="1"/>
        <v>422.71</v>
      </c>
      <c r="E16" s="37"/>
      <c r="F16" s="37"/>
    </row>
    <row r="17" spans="1:6" x14ac:dyDescent="0.3">
      <c r="A17" s="4" t="s">
        <v>58</v>
      </c>
      <c r="B17" s="5">
        <v>0.03</v>
      </c>
      <c r="C17" s="6">
        <f t="shared" si="0"/>
        <v>42.27</v>
      </c>
      <c r="D17" s="6">
        <f t="shared" si="1"/>
        <v>507.25</v>
      </c>
      <c r="E17" s="37"/>
      <c r="F17" s="37"/>
    </row>
    <row r="18" spans="1:6" x14ac:dyDescent="0.3">
      <c r="A18" s="4" t="s">
        <v>59</v>
      </c>
      <c r="B18" s="5">
        <v>1.4999999999999999E-2</v>
      </c>
      <c r="C18" s="6">
        <f t="shared" si="0"/>
        <v>21.14</v>
      </c>
      <c r="D18" s="6">
        <f t="shared" si="1"/>
        <v>253.62</v>
      </c>
      <c r="E18" s="37"/>
      <c r="F18" s="37"/>
    </row>
    <row r="19" spans="1:6" x14ac:dyDescent="0.3">
      <c r="A19" s="4" t="s">
        <v>60</v>
      </c>
      <c r="B19" s="5">
        <v>0.01</v>
      </c>
      <c r="C19" s="6">
        <f t="shared" si="0"/>
        <v>14.09</v>
      </c>
      <c r="D19" s="6">
        <f t="shared" si="1"/>
        <v>169.08</v>
      </c>
      <c r="E19" s="37"/>
      <c r="F19" s="37"/>
    </row>
    <row r="20" spans="1:6" x14ac:dyDescent="0.3">
      <c r="A20" s="4" t="s">
        <v>61</v>
      </c>
      <c r="B20" s="5">
        <v>6.0000000000000001E-3</v>
      </c>
      <c r="C20" s="6">
        <f t="shared" si="0"/>
        <v>8.4499999999999993</v>
      </c>
      <c r="D20" s="6">
        <f t="shared" si="1"/>
        <v>101.45</v>
      </c>
      <c r="E20" s="37"/>
      <c r="F20" s="37"/>
    </row>
    <row r="21" spans="1:6" x14ac:dyDescent="0.3">
      <c r="A21" s="4" t="s">
        <v>62</v>
      </c>
      <c r="B21" s="5">
        <v>2E-3</v>
      </c>
      <c r="C21" s="6">
        <f t="shared" si="0"/>
        <v>2.82</v>
      </c>
      <c r="D21" s="6">
        <f t="shared" si="1"/>
        <v>33.82</v>
      </c>
      <c r="E21" s="37"/>
      <c r="F21" s="37"/>
    </row>
    <row r="22" spans="1:6" x14ac:dyDescent="0.3">
      <c r="A22" s="4" t="s">
        <v>63</v>
      </c>
      <c r="B22" s="5">
        <v>0.08</v>
      </c>
      <c r="C22" s="6">
        <f t="shared" si="0"/>
        <v>112.72</v>
      </c>
      <c r="D22" s="6">
        <f t="shared" si="1"/>
        <v>1352.66</v>
      </c>
      <c r="E22" s="37"/>
      <c r="F22" s="37"/>
    </row>
    <row r="23" spans="1:6" x14ac:dyDescent="0.3">
      <c r="A23" s="15" t="s">
        <v>16</v>
      </c>
      <c r="B23" s="16">
        <f>SUM(B15:B22)</f>
        <v>0.36799999999999999</v>
      </c>
      <c r="C23" s="17">
        <f>SUM(C15:C22)</f>
        <v>518.52</v>
      </c>
      <c r="D23" s="17">
        <f>C23*12</f>
        <v>6222.24</v>
      </c>
      <c r="E23" s="40"/>
      <c r="F23" s="40"/>
    </row>
    <row r="24" spans="1:6" x14ac:dyDescent="0.3">
      <c r="A24" s="53"/>
      <c r="B24" s="53"/>
      <c r="C24" s="53"/>
      <c r="D24" s="53"/>
      <c r="E24" s="53"/>
      <c r="F24" s="53"/>
    </row>
    <row r="25" spans="1:6" ht="24" x14ac:dyDescent="0.3">
      <c r="A25" s="8" t="s">
        <v>94</v>
      </c>
      <c r="B25" s="15" t="s">
        <v>22</v>
      </c>
      <c r="C25" s="15" t="s">
        <v>12</v>
      </c>
      <c r="D25" s="15" t="s">
        <v>2</v>
      </c>
      <c r="E25" s="41"/>
      <c r="F25" s="1"/>
    </row>
    <row r="26" spans="1:6" ht="24" x14ac:dyDescent="0.3">
      <c r="A26" s="4" t="s">
        <v>93</v>
      </c>
      <c r="B26" s="60">
        <f>(3.8*24*2)-B5*0.06</f>
        <v>134.29</v>
      </c>
      <c r="C26" s="6">
        <f t="shared" ref="C26:C27" si="2">B26*(SUM($C$5:$C$5))</f>
        <v>134.29</v>
      </c>
      <c r="D26" s="6">
        <f>C26*12</f>
        <v>1611.48</v>
      </c>
      <c r="E26" s="41"/>
      <c r="F26" s="1"/>
    </row>
    <row r="27" spans="1:6" x14ac:dyDescent="0.3">
      <c r="A27" s="4" t="s">
        <v>17</v>
      </c>
      <c r="B27" s="60">
        <f>805*80%</f>
        <v>644</v>
      </c>
      <c r="C27" s="6">
        <f t="shared" si="2"/>
        <v>644</v>
      </c>
      <c r="D27" s="6">
        <f t="shared" ref="D27:D30" si="3">C27*12</f>
        <v>7728</v>
      </c>
      <c r="E27" s="41"/>
      <c r="F27" s="37"/>
    </row>
    <row r="28" spans="1:6" x14ac:dyDescent="0.3">
      <c r="A28" s="4" t="s">
        <v>18</v>
      </c>
      <c r="B28" s="60">
        <v>87.5</v>
      </c>
      <c r="C28" s="6">
        <v>87.5</v>
      </c>
      <c r="D28" s="6">
        <f t="shared" si="3"/>
        <v>1050</v>
      </c>
      <c r="E28" s="41"/>
      <c r="F28" s="37"/>
    </row>
    <row r="29" spans="1:6" x14ac:dyDescent="0.3">
      <c r="A29" s="4" t="s">
        <v>19</v>
      </c>
      <c r="B29" s="60">
        <v>28</v>
      </c>
      <c r="C29" s="6">
        <v>28</v>
      </c>
      <c r="D29" s="6">
        <f t="shared" si="3"/>
        <v>336</v>
      </c>
      <c r="E29" s="41"/>
      <c r="F29" s="37"/>
    </row>
    <row r="30" spans="1:6" x14ac:dyDescent="0.3">
      <c r="A30" s="61" t="s">
        <v>91</v>
      </c>
      <c r="B30" s="62">
        <v>28</v>
      </c>
      <c r="C30" s="63">
        <v>28</v>
      </c>
      <c r="D30" s="64">
        <f t="shared" si="3"/>
        <v>336</v>
      </c>
      <c r="E30" s="41"/>
      <c r="F30" s="40"/>
    </row>
    <row r="31" spans="1:6" x14ac:dyDescent="0.3">
      <c r="A31" s="65" t="s">
        <v>88</v>
      </c>
      <c r="B31" s="66">
        <f>(805*80%)</f>
        <v>644</v>
      </c>
      <c r="C31" s="69">
        <f>B31/12</f>
        <v>53.667000000000002</v>
      </c>
      <c r="D31" s="63">
        <f>C31*12</f>
        <v>644</v>
      </c>
      <c r="E31" s="41"/>
      <c r="F31" s="40"/>
    </row>
    <row r="32" spans="1:6" x14ac:dyDescent="0.3">
      <c r="A32" s="67" t="s">
        <v>89</v>
      </c>
      <c r="B32" s="68">
        <f>SUM(B26:B31)</f>
        <v>1565.79</v>
      </c>
      <c r="C32" s="68">
        <f>SUM(C26:C31)</f>
        <v>975.46</v>
      </c>
      <c r="D32" s="68">
        <f>C32*12</f>
        <v>11705.52</v>
      </c>
      <c r="E32" s="40"/>
      <c r="F32" s="40"/>
    </row>
    <row r="33" spans="1:6" ht="23.25" customHeight="1" x14ac:dyDescent="0.3">
      <c r="A33" s="105" t="s">
        <v>4</v>
      </c>
      <c r="B33" s="106"/>
      <c r="C33" s="48">
        <f>D5+C12+C23+C32</f>
        <v>3059.54</v>
      </c>
      <c r="D33" s="48">
        <f>SUM(E5+D12+D23+D32)</f>
        <v>36714.480000000003</v>
      </c>
      <c r="E33" s="40"/>
      <c r="F33" s="40"/>
    </row>
    <row r="34" spans="1:6" x14ac:dyDescent="0.3">
      <c r="A34" s="40"/>
      <c r="B34" s="40"/>
      <c r="C34" s="40"/>
      <c r="D34" s="40"/>
      <c r="E34" s="40"/>
      <c r="F34" s="40"/>
    </row>
    <row r="35" spans="1:6" x14ac:dyDescent="0.3">
      <c r="A35" s="115" t="s">
        <v>31</v>
      </c>
      <c r="B35" s="115"/>
      <c r="C35" s="115"/>
      <c r="D35" s="115"/>
      <c r="E35" s="40"/>
      <c r="F35" s="40"/>
    </row>
    <row r="36" spans="1:6" x14ac:dyDescent="0.3">
      <c r="A36" s="18" t="s">
        <v>30</v>
      </c>
      <c r="B36" s="19" t="s">
        <v>1</v>
      </c>
      <c r="C36" s="19" t="s">
        <v>12</v>
      </c>
      <c r="D36" s="19" t="s">
        <v>2</v>
      </c>
      <c r="E36" s="40"/>
      <c r="F36" s="40"/>
    </row>
    <row r="37" spans="1:6" x14ac:dyDescent="0.3">
      <c r="A37" s="10" t="s">
        <v>24</v>
      </c>
      <c r="B37" s="13">
        <v>4.1999999999999997E-3</v>
      </c>
      <c r="C37" s="11">
        <f t="shared" ref="C37:C42" si="4">B37*$D$5</f>
        <v>5.92</v>
      </c>
      <c r="D37" s="11">
        <f t="shared" ref="D37:D42" si="5">B37*$E$5</f>
        <v>71.010000000000005</v>
      </c>
      <c r="E37" s="37"/>
      <c r="F37" s="1"/>
    </row>
    <row r="38" spans="1:6" x14ac:dyDescent="0.3">
      <c r="A38" s="10" t="s">
        <v>25</v>
      </c>
      <c r="B38" s="14">
        <v>3.3E-4</v>
      </c>
      <c r="C38" s="11">
        <f t="shared" si="4"/>
        <v>0.46</v>
      </c>
      <c r="D38" s="11">
        <f t="shared" si="5"/>
        <v>5.58</v>
      </c>
      <c r="E38" s="37"/>
      <c r="F38" s="1"/>
    </row>
    <row r="39" spans="1:6" x14ac:dyDescent="0.3">
      <c r="A39" s="10" t="s">
        <v>26</v>
      </c>
      <c r="B39" s="14">
        <v>1.6000000000000001E-4</v>
      </c>
      <c r="C39" s="11">
        <f t="shared" si="4"/>
        <v>0.23</v>
      </c>
      <c r="D39" s="11">
        <f t="shared" si="5"/>
        <v>2.71</v>
      </c>
      <c r="E39" s="37"/>
      <c r="F39" s="1"/>
    </row>
    <row r="40" spans="1:6" x14ac:dyDescent="0.3">
      <c r="A40" s="10" t="s">
        <v>27</v>
      </c>
      <c r="B40" s="13">
        <v>1.9400000000000001E-2</v>
      </c>
      <c r="C40" s="11">
        <f t="shared" si="4"/>
        <v>27.33</v>
      </c>
      <c r="D40" s="11">
        <f t="shared" si="5"/>
        <v>328.02</v>
      </c>
      <c r="E40" s="37"/>
      <c r="F40" s="1"/>
    </row>
    <row r="41" spans="1:6" x14ac:dyDescent="0.3">
      <c r="A41" s="10" t="s">
        <v>28</v>
      </c>
      <c r="B41" s="13">
        <f>B40*B23</f>
        <v>7.1000000000000004E-3</v>
      </c>
      <c r="C41" s="11">
        <f t="shared" si="4"/>
        <v>10</v>
      </c>
      <c r="D41" s="11">
        <f t="shared" si="5"/>
        <v>120.05</v>
      </c>
      <c r="E41" s="37"/>
      <c r="F41" s="1"/>
    </row>
    <row r="42" spans="1:6" x14ac:dyDescent="0.3">
      <c r="A42" s="10" t="s">
        <v>29</v>
      </c>
      <c r="B42" s="14">
        <v>7.6999999999999996E-4</v>
      </c>
      <c r="C42" s="11">
        <f t="shared" si="4"/>
        <v>1.08</v>
      </c>
      <c r="D42" s="11">
        <f t="shared" si="5"/>
        <v>13.02</v>
      </c>
      <c r="E42" s="37"/>
      <c r="F42" s="1"/>
    </row>
    <row r="43" spans="1:6" x14ac:dyDescent="0.3">
      <c r="A43" s="19" t="s">
        <v>38</v>
      </c>
      <c r="B43" s="20">
        <f>SUM(B37:B42)</f>
        <v>3.2000000000000001E-2</v>
      </c>
      <c r="C43" s="21">
        <f>SUM(C37:C42)</f>
        <v>45.02</v>
      </c>
      <c r="D43" s="21">
        <f>C43*12</f>
        <v>540.24</v>
      </c>
      <c r="E43" s="40"/>
      <c r="F43" s="40"/>
    </row>
    <row r="44" spans="1:6" x14ac:dyDescent="0.3">
      <c r="A44" s="49"/>
      <c r="B44" s="50"/>
      <c r="C44" s="50"/>
      <c r="D44" s="50"/>
      <c r="E44" s="40"/>
      <c r="F44" s="40"/>
    </row>
    <row r="45" spans="1:6" x14ac:dyDescent="0.3">
      <c r="A45" s="18" t="s">
        <v>32</v>
      </c>
      <c r="B45" s="19" t="s">
        <v>1</v>
      </c>
      <c r="C45" s="19" t="s">
        <v>12</v>
      </c>
      <c r="D45" s="19" t="s">
        <v>2</v>
      </c>
      <c r="E45" s="39"/>
      <c r="F45" s="39"/>
    </row>
    <row r="46" spans="1:6" x14ac:dyDescent="0.3">
      <c r="A46" s="10" t="s">
        <v>33</v>
      </c>
      <c r="B46" s="13">
        <v>8.3299999999999999E-2</v>
      </c>
      <c r="C46" s="11">
        <f>B46*$D$5</f>
        <v>117.37</v>
      </c>
      <c r="D46" s="11">
        <f>B46*$E$5</f>
        <v>1408.46</v>
      </c>
      <c r="E46" s="37"/>
      <c r="F46" s="37"/>
    </row>
    <row r="47" spans="1:6" x14ac:dyDescent="0.3">
      <c r="A47" s="10" t="s">
        <v>34</v>
      </c>
      <c r="B47" s="13">
        <v>8.0000000000000004E-4</v>
      </c>
      <c r="C47" s="11">
        <f>B47*$D$5</f>
        <v>1.1299999999999999</v>
      </c>
      <c r="D47" s="11">
        <f>B47*$E$5</f>
        <v>13.53</v>
      </c>
      <c r="E47" s="37"/>
      <c r="F47" s="37"/>
    </row>
    <row r="48" spans="1:6" ht="24" x14ac:dyDescent="0.3">
      <c r="A48" s="10" t="s">
        <v>35</v>
      </c>
      <c r="B48" s="13">
        <v>2.9999999999999997E-4</v>
      </c>
      <c r="C48" s="11">
        <f>B48*$D$5</f>
        <v>0.42</v>
      </c>
      <c r="D48" s="11">
        <f>B48*$E$5</f>
        <v>5.07</v>
      </c>
      <c r="E48" s="37"/>
      <c r="F48" s="37"/>
    </row>
    <row r="49" spans="1:6" x14ac:dyDescent="0.3">
      <c r="A49" s="10" t="s">
        <v>36</v>
      </c>
      <c r="B49" s="13">
        <v>1.2999999999999999E-3</v>
      </c>
      <c r="C49" s="11">
        <f>B49*$D$5</f>
        <v>1.83</v>
      </c>
      <c r="D49" s="11">
        <f>B49*$E$5</f>
        <v>21.98</v>
      </c>
      <c r="E49" s="37"/>
      <c r="F49" s="37"/>
    </row>
    <row r="50" spans="1:6" x14ac:dyDescent="0.3">
      <c r="A50" s="10" t="s">
        <v>37</v>
      </c>
      <c r="B50" s="13">
        <v>8.2000000000000007E-3</v>
      </c>
      <c r="C50" s="11">
        <f>B50*$D$5</f>
        <v>11.55</v>
      </c>
      <c r="D50" s="11">
        <f>B50*$E$5</f>
        <v>138.65</v>
      </c>
      <c r="E50" s="37"/>
      <c r="F50" s="37"/>
    </row>
    <row r="51" spans="1:6" x14ac:dyDescent="0.3">
      <c r="A51" s="19" t="s">
        <v>39</v>
      </c>
      <c r="B51" s="20">
        <f>SUM(B46:B50)</f>
        <v>9.3899999999999997E-2</v>
      </c>
      <c r="C51" s="21">
        <f>SUM(C46:C50)</f>
        <v>132.30000000000001</v>
      </c>
      <c r="D51" s="21">
        <f>C51*12</f>
        <v>1587.6</v>
      </c>
      <c r="E51" s="39"/>
      <c r="F51" s="39"/>
    </row>
    <row r="52" spans="1:6" ht="29.25" customHeight="1" x14ac:dyDescent="0.3">
      <c r="A52" s="116" t="s">
        <v>40</v>
      </c>
      <c r="B52" s="117"/>
      <c r="C52" s="46">
        <f>SUM(C43+C51)</f>
        <v>177.32</v>
      </c>
      <c r="D52" s="47">
        <f>SUM(D43+D51)</f>
        <v>2127.84</v>
      </c>
      <c r="E52" s="39"/>
      <c r="F52" s="39"/>
    </row>
    <row r="53" spans="1:6" x14ac:dyDescent="0.3">
      <c r="A53" s="49"/>
      <c r="B53" s="50"/>
      <c r="C53" s="50"/>
      <c r="D53" s="50"/>
      <c r="E53" s="51"/>
      <c r="F53" s="51"/>
    </row>
    <row r="54" spans="1:6" x14ac:dyDescent="0.3">
      <c r="A54" s="118" t="s">
        <v>115</v>
      </c>
      <c r="B54" s="119"/>
      <c r="C54" s="119"/>
      <c r="D54" s="119"/>
      <c r="E54" s="119"/>
      <c r="F54" s="120"/>
    </row>
    <row r="55" spans="1:6" ht="24" x14ac:dyDescent="0.3">
      <c r="A55" s="22" t="s">
        <v>116</v>
      </c>
      <c r="B55" s="23" t="s">
        <v>90</v>
      </c>
      <c r="C55" s="23" t="s">
        <v>104</v>
      </c>
      <c r="D55" s="23" t="s">
        <v>0</v>
      </c>
      <c r="E55" s="23" t="s">
        <v>12</v>
      </c>
      <c r="F55" s="23" t="s">
        <v>2</v>
      </c>
    </row>
    <row r="56" spans="1:6" x14ac:dyDescent="0.3">
      <c r="A56" s="121" t="s">
        <v>95</v>
      </c>
      <c r="B56" s="122"/>
      <c r="C56" s="122"/>
      <c r="D56" s="122"/>
      <c r="E56" s="122"/>
      <c r="F56" s="123"/>
    </row>
    <row r="57" spans="1:6" x14ac:dyDescent="0.3">
      <c r="A57" s="9" t="s">
        <v>117</v>
      </c>
      <c r="B57" s="2">
        <v>2</v>
      </c>
      <c r="C57" s="45">
        <f>B57*$C$5</f>
        <v>2</v>
      </c>
      <c r="D57" s="58">
        <v>49.1</v>
      </c>
      <c r="E57" s="3">
        <f>D57*C57/12</f>
        <v>8.18</v>
      </c>
      <c r="F57" s="3">
        <f>D57*C57</f>
        <v>98.2</v>
      </c>
    </row>
    <row r="58" spans="1:6" x14ac:dyDescent="0.3">
      <c r="A58" s="9" t="s">
        <v>118</v>
      </c>
      <c r="B58" s="2">
        <v>2</v>
      </c>
      <c r="C58" s="45">
        <f t="shared" ref="C58:C64" si="6">B58*$C$5</f>
        <v>2</v>
      </c>
      <c r="D58" s="58">
        <v>19.899999999999999</v>
      </c>
      <c r="E58" s="3">
        <f>D58*C58/12</f>
        <v>3.32</v>
      </c>
      <c r="F58" s="3">
        <f t="shared" ref="F58:F64" si="7">D58*C58</f>
        <v>39.799999999999997</v>
      </c>
    </row>
    <row r="59" spans="1:6" x14ac:dyDescent="0.3">
      <c r="A59" s="9" t="s">
        <v>119</v>
      </c>
      <c r="B59" s="2">
        <v>2</v>
      </c>
      <c r="C59" s="45">
        <f t="shared" si="6"/>
        <v>2</v>
      </c>
      <c r="D59" s="58">
        <v>65.38</v>
      </c>
      <c r="E59" s="3">
        <f t="shared" ref="E59:E64" si="8">D59*C59/12</f>
        <v>10.9</v>
      </c>
      <c r="F59" s="3">
        <f t="shared" si="7"/>
        <v>130.76</v>
      </c>
    </row>
    <row r="60" spans="1:6" x14ac:dyDescent="0.3">
      <c r="A60" s="9" t="s">
        <v>120</v>
      </c>
      <c r="B60" s="2">
        <v>2</v>
      </c>
      <c r="C60" s="45">
        <f t="shared" si="6"/>
        <v>2</v>
      </c>
      <c r="D60" s="58">
        <v>27.85</v>
      </c>
      <c r="E60" s="3">
        <f t="shared" si="8"/>
        <v>4.6399999999999997</v>
      </c>
      <c r="F60" s="3">
        <f t="shared" si="7"/>
        <v>55.7</v>
      </c>
    </row>
    <row r="61" spans="1:6" x14ac:dyDescent="0.3">
      <c r="A61" s="9" t="s">
        <v>121</v>
      </c>
      <c r="B61" s="2">
        <v>24</v>
      </c>
      <c r="C61" s="45">
        <f t="shared" si="6"/>
        <v>24</v>
      </c>
      <c r="D61" s="58">
        <v>12.9</v>
      </c>
      <c r="E61" s="3">
        <f t="shared" si="8"/>
        <v>25.8</v>
      </c>
      <c r="F61" s="3">
        <f t="shared" si="7"/>
        <v>309.60000000000002</v>
      </c>
    </row>
    <row r="62" spans="1:6" x14ac:dyDescent="0.3">
      <c r="A62" s="9" t="s">
        <v>122</v>
      </c>
      <c r="B62" s="2">
        <v>2</v>
      </c>
      <c r="C62" s="45">
        <f t="shared" si="6"/>
        <v>2</v>
      </c>
      <c r="D62" s="59">
        <v>73</v>
      </c>
      <c r="E62" s="3">
        <f t="shared" si="8"/>
        <v>12.17</v>
      </c>
      <c r="F62" s="3">
        <f t="shared" si="7"/>
        <v>146</v>
      </c>
    </row>
    <row r="63" spans="1:6" x14ac:dyDescent="0.3">
      <c r="A63" s="9" t="s">
        <v>123</v>
      </c>
      <c r="B63" s="2">
        <v>1</v>
      </c>
      <c r="C63" s="45">
        <f t="shared" si="6"/>
        <v>1</v>
      </c>
      <c r="D63" s="58">
        <v>37.9</v>
      </c>
      <c r="E63" s="3">
        <f t="shared" si="8"/>
        <v>3.16</v>
      </c>
      <c r="F63" s="3">
        <f t="shared" si="7"/>
        <v>37.9</v>
      </c>
    </row>
    <row r="64" spans="1:6" x14ac:dyDescent="0.3">
      <c r="A64" s="9" t="s">
        <v>124</v>
      </c>
      <c r="B64" s="2">
        <v>2</v>
      </c>
      <c r="C64" s="45">
        <f t="shared" si="6"/>
        <v>2</v>
      </c>
      <c r="D64" s="58">
        <v>25.02</v>
      </c>
      <c r="E64" s="3">
        <f t="shared" si="8"/>
        <v>4.17</v>
      </c>
      <c r="F64" s="3">
        <f t="shared" si="7"/>
        <v>50.04</v>
      </c>
    </row>
    <row r="65" spans="1:6" x14ac:dyDescent="0.3">
      <c r="A65" s="124" t="s">
        <v>96</v>
      </c>
      <c r="B65" s="124"/>
      <c r="C65" s="57">
        <f>SUM(E57:E64)</f>
        <v>72.34</v>
      </c>
      <c r="D65" s="125" t="s">
        <v>3</v>
      </c>
      <c r="E65" s="125"/>
      <c r="F65" s="56">
        <f>C65*12</f>
        <v>868.08</v>
      </c>
    </row>
    <row r="66" spans="1:6" x14ac:dyDescent="0.3">
      <c r="A66" s="127"/>
      <c r="B66" s="127"/>
      <c r="C66" s="127"/>
      <c r="D66" s="127"/>
      <c r="E66" s="127"/>
      <c r="F66" s="127"/>
    </row>
    <row r="67" spans="1:6" x14ac:dyDescent="0.3">
      <c r="A67" s="126" t="s">
        <v>97</v>
      </c>
      <c r="B67" s="126"/>
      <c r="C67" s="126"/>
      <c r="D67" s="126"/>
      <c r="E67" s="126"/>
      <c r="F67" s="126"/>
    </row>
    <row r="68" spans="1:6" x14ac:dyDescent="0.3">
      <c r="A68" s="128" t="s">
        <v>41</v>
      </c>
      <c r="B68" s="128" t="s">
        <v>43</v>
      </c>
      <c r="C68" s="129" t="s">
        <v>12</v>
      </c>
      <c r="D68" s="129"/>
      <c r="E68" s="129" t="s">
        <v>2</v>
      </c>
      <c r="F68" s="129"/>
    </row>
    <row r="69" spans="1:6" x14ac:dyDescent="0.3">
      <c r="A69" s="130" t="s">
        <v>99</v>
      </c>
      <c r="B69" s="130"/>
      <c r="C69" s="131">
        <f>SUM(C33,C52)</f>
        <v>3236.86</v>
      </c>
      <c r="D69" s="131"/>
      <c r="E69" s="131">
        <f>C69*12</f>
        <v>38842.32</v>
      </c>
      <c r="F69" s="131"/>
    </row>
    <row r="70" spans="1:6" x14ac:dyDescent="0.3">
      <c r="A70" s="130"/>
      <c r="B70" s="130"/>
      <c r="C70" s="131"/>
      <c r="D70" s="131"/>
      <c r="E70" s="131"/>
      <c r="F70" s="131"/>
    </row>
    <row r="71" spans="1:6" x14ac:dyDescent="0.3">
      <c r="A71" s="28" t="s">
        <v>52</v>
      </c>
      <c r="B71" s="35">
        <v>0.03</v>
      </c>
      <c r="C71" s="133">
        <f>C69*B71</f>
        <v>97.11</v>
      </c>
      <c r="D71" s="133"/>
      <c r="E71" s="133">
        <f>C71*12</f>
        <v>1165.32</v>
      </c>
      <c r="F71" s="133"/>
    </row>
    <row r="72" spans="1:6" x14ac:dyDescent="0.3">
      <c r="A72" s="134" t="s">
        <v>100</v>
      </c>
      <c r="B72" s="134"/>
      <c r="C72" s="131">
        <f>C69+C71</f>
        <v>3333.97</v>
      </c>
      <c r="D72" s="131"/>
      <c r="E72" s="131">
        <f>E69+E71</f>
        <v>40007.64</v>
      </c>
      <c r="F72" s="131"/>
    </row>
    <row r="73" spans="1:6" x14ac:dyDescent="0.3">
      <c r="A73" s="134"/>
      <c r="B73" s="134"/>
      <c r="C73" s="131"/>
      <c r="D73" s="131"/>
      <c r="E73" s="131"/>
      <c r="F73" s="131"/>
    </row>
    <row r="74" spans="1:6" x14ac:dyDescent="0.3">
      <c r="A74" s="28" t="s">
        <v>44</v>
      </c>
      <c r="B74" s="35">
        <v>6.7900000000000002E-2</v>
      </c>
      <c r="C74" s="133">
        <f>C72*B74</f>
        <v>226.38</v>
      </c>
      <c r="D74" s="133"/>
      <c r="E74" s="133">
        <f>C74*12</f>
        <v>2716.56</v>
      </c>
      <c r="F74" s="133"/>
    </row>
    <row r="75" spans="1:6" x14ac:dyDescent="0.3">
      <c r="A75" s="135" t="s">
        <v>45</v>
      </c>
      <c r="B75" s="135"/>
      <c r="C75" s="135"/>
      <c r="D75" s="135"/>
      <c r="E75" s="29"/>
      <c r="F75" s="30"/>
    </row>
    <row r="76" spans="1:6" x14ac:dyDescent="0.3">
      <c r="A76" s="130" t="s">
        <v>46</v>
      </c>
      <c r="B76" s="130"/>
      <c r="C76" s="136">
        <f>C74+C71+C69</f>
        <v>3560.35</v>
      </c>
      <c r="D76" s="136"/>
      <c r="E76" s="136">
        <f>E74+E71+E69</f>
        <v>42724.2</v>
      </c>
      <c r="F76" s="136"/>
    </row>
    <row r="77" spans="1:6" x14ac:dyDescent="0.3">
      <c r="A77" s="137" t="s">
        <v>47</v>
      </c>
      <c r="B77" s="138"/>
      <c r="C77" s="138"/>
      <c r="D77" s="138"/>
      <c r="E77" s="138"/>
      <c r="F77" s="139"/>
    </row>
    <row r="78" spans="1:6" x14ac:dyDescent="0.3">
      <c r="A78" s="31" t="s">
        <v>48</v>
      </c>
      <c r="B78" s="31"/>
      <c r="C78" s="132" t="s">
        <v>12</v>
      </c>
      <c r="D78" s="132"/>
      <c r="E78" s="132" t="s">
        <v>2</v>
      </c>
      <c r="F78" s="132"/>
    </row>
    <row r="79" spans="1:6" x14ac:dyDescent="0.3">
      <c r="A79" s="32" t="s">
        <v>49</v>
      </c>
      <c r="B79" s="35">
        <v>7.5999999999999998E-2</v>
      </c>
      <c r="C79" s="133">
        <f>($C$76)*B79/(1-($B$82))</f>
        <v>315.55</v>
      </c>
      <c r="D79" s="133"/>
      <c r="E79" s="133">
        <f>C79*12</f>
        <v>3786.6</v>
      </c>
      <c r="F79" s="133"/>
    </row>
    <row r="80" spans="1:6" x14ac:dyDescent="0.3">
      <c r="A80" s="32" t="s">
        <v>50</v>
      </c>
      <c r="B80" s="35">
        <v>1.6500000000000001E-2</v>
      </c>
      <c r="C80" s="133">
        <f t="shared" ref="C80:C81" si="9">($C$76)*B80/(1-($B$82))</f>
        <v>68.510000000000005</v>
      </c>
      <c r="D80" s="133"/>
      <c r="E80" s="133">
        <f t="shared" ref="E80:E81" si="10">C80*12</f>
        <v>822.12</v>
      </c>
      <c r="F80" s="133"/>
    </row>
    <row r="81" spans="1:6" x14ac:dyDescent="0.3">
      <c r="A81" s="32" t="s">
        <v>53</v>
      </c>
      <c r="B81" s="35">
        <v>0.05</v>
      </c>
      <c r="C81" s="133">
        <f t="shared" si="9"/>
        <v>207.6</v>
      </c>
      <c r="D81" s="133"/>
      <c r="E81" s="133">
        <f t="shared" si="10"/>
        <v>2491.1999999999998</v>
      </c>
      <c r="F81" s="133"/>
    </row>
    <row r="82" spans="1:6" x14ac:dyDescent="0.3">
      <c r="A82" s="33" t="s">
        <v>51</v>
      </c>
      <c r="B82" s="34">
        <f>SUM(B79:B81)</f>
        <v>0.14249999999999999</v>
      </c>
      <c r="C82" s="133">
        <f>SUM(C79:D81)</f>
        <v>591.66</v>
      </c>
      <c r="D82" s="133"/>
      <c r="E82" s="144">
        <f>SUM(E79:F81)</f>
        <v>7099.92</v>
      </c>
      <c r="F82" s="145"/>
    </row>
    <row r="83" spans="1:6" x14ac:dyDescent="0.3">
      <c r="A83" s="146" t="s">
        <v>98</v>
      </c>
      <c r="B83" s="146"/>
      <c r="C83" s="140">
        <f>C71+C74+C82</f>
        <v>915.15</v>
      </c>
      <c r="D83" s="140"/>
      <c r="E83" s="140">
        <f>C83*12</f>
        <v>10981.8</v>
      </c>
      <c r="F83" s="140"/>
    </row>
    <row r="84" spans="1:6" x14ac:dyDescent="0.3">
      <c r="A84" s="141"/>
      <c r="B84" s="142"/>
      <c r="C84" s="142"/>
      <c r="D84" s="142"/>
      <c r="E84" s="142"/>
      <c r="F84" s="143"/>
    </row>
    <row r="85" spans="1:6" x14ac:dyDescent="0.3">
      <c r="A85" s="148" t="s">
        <v>54</v>
      </c>
      <c r="B85" s="151" t="s">
        <v>12</v>
      </c>
      <c r="C85" s="151"/>
      <c r="D85" s="152" t="s">
        <v>3</v>
      </c>
      <c r="E85" s="153"/>
      <c r="F85" s="154"/>
    </row>
    <row r="86" spans="1:6" x14ac:dyDescent="0.3">
      <c r="A86" s="149"/>
      <c r="B86" s="25" t="s">
        <v>5</v>
      </c>
      <c r="C86" s="26">
        <f>C33</f>
        <v>3059.54</v>
      </c>
      <c r="D86" s="25" t="s">
        <v>5</v>
      </c>
      <c r="E86" s="155">
        <f>D33</f>
        <v>36714.480000000003</v>
      </c>
      <c r="F86" s="156"/>
    </row>
    <row r="87" spans="1:6" x14ac:dyDescent="0.3">
      <c r="A87" s="149"/>
      <c r="B87" s="25" t="s">
        <v>6</v>
      </c>
      <c r="C87" s="26">
        <f>C52</f>
        <v>177.32</v>
      </c>
      <c r="D87" s="25" t="s">
        <v>6</v>
      </c>
      <c r="E87" s="155">
        <f>D52</f>
        <v>2127.84</v>
      </c>
      <c r="F87" s="156"/>
    </row>
    <row r="88" spans="1:6" x14ac:dyDescent="0.3">
      <c r="A88" s="149"/>
      <c r="B88" s="25" t="s">
        <v>7</v>
      </c>
      <c r="C88" s="26">
        <f>C65</f>
        <v>72.34</v>
      </c>
      <c r="D88" s="25" t="s">
        <v>7</v>
      </c>
      <c r="E88" s="155">
        <f>F65</f>
        <v>868.08</v>
      </c>
      <c r="F88" s="156"/>
    </row>
    <row r="89" spans="1:6" x14ac:dyDescent="0.3">
      <c r="A89" s="149"/>
      <c r="B89" s="25" t="s">
        <v>8</v>
      </c>
      <c r="C89" s="26">
        <f>C83</f>
        <v>915.15</v>
      </c>
      <c r="D89" s="25" t="s">
        <v>8</v>
      </c>
      <c r="E89" s="155">
        <f>E83</f>
        <v>10981.8</v>
      </c>
      <c r="F89" s="156"/>
    </row>
    <row r="90" spans="1:6" x14ac:dyDescent="0.3">
      <c r="A90" s="150"/>
      <c r="B90" s="24" t="s">
        <v>12</v>
      </c>
      <c r="C90" s="27">
        <f>SUM(C86:C89)</f>
        <v>4224.3500000000004</v>
      </c>
      <c r="D90" s="24" t="s">
        <v>42</v>
      </c>
      <c r="E90" s="157">
        <f>SUM(E86:E89)</f>
        <v>50692.2</v>
      </c>
      <c r="F90" s="158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ht="17.399999999999999" x14ac:dyDescent="0.3">
      <c r="A93" s="102" t="s">
        <v>130</v>
      </c>
      <c r="B93" s="103"/>
      <c r="C93" s="103"/>
      <c r="D93" s="104"/>
      <c r="E93" s="102">
        <v>2</v>
      </c>
      <c r="F93" s="104"/>
    </row>
    <row r="94" spans="1:6" ht="17.399999999999999" x14ac:dyDescent="0.3">
      <c r="A94" s="102" t="s">
        <v>131</v>
      </c>
      <c r="B94" s="103"/>
      <c r="C94" s="103"/>
      <c r="D94" s="104"/>
      <c r="E94" s="101">
        <f>C90*E93</f>
        <v>8448.7000000000007</v>
      </c>
      <c r="F94" s="101"/>
    </row>
    <row r="95" spans="1:6" ht="17.399999999999999" x14ac:dyDescent="0.3">
      <c r="A95" s="102" t="s">
        <v>132</v>
      </c>
      <c r="B95" s="103"/>
      <c r="C95" s="103"/>
      <c r="D95" s="104"/>
      <c r="E95" s="101">
        <f>E94*12</f>
        <v>101384.4</v>
      </c>
      <c r="F95" s="101"/>
    </row>
  </sheetData>
  <mergeCells count="62">
    <mergeCell ref="A95:D95"/>
    <mergeCell ref="E95:F95"/>
    <mergeCell ref="A93:D93"/>
    <mergeCell ref="E93:F93"/>
    <mergeCell ref="A94:D94"/>
    <mergeCell ref="E94:F94"/>
    <mergeCell ref="A84:F84"/>
    <mergeCell ref="A85:A90"/>
    <mergeCell ref="B85:C85"/>
    <mergeCell ref="D85:F85"/>
    <mergeCell ref="E86:F86"/>
    <mergeCell ref="E87:F87"/>
    <mergeCell ref="E88:F88"/>
    <mergeCell ref="E89:F89"/>
    <mergeCell ref="E90:F90"/>
    <mergeCell ref="C81:D81"/>
    <mergeCell ref="E81:F81"/>
    <mergeCell ref="C82:D82"/>
    <mergeCell ref="E82:F82"/>
    <mergeCell ref="A83:B83"/>
    <mergeCell ref="C83:D83"/>
    <mergeCell ref="E83:F83"/>
    <mergeCell ref="C80:D80"/>
    <mergeCell ref="E80:F80"/>
    <mergeCell ref="C74:D74"/>
    <mergeCell ref="E74:F74"/>
    <mergeCell ref="A75:D75"/>
    <mergeCell ref="A76:B76"/>
    <mergeCell ref="C76:D76"/>
    <mergeCell ref="E76:F76"/>
    <mergeCell ref="A77:F77"/>
    <mergeCell ref="C78:D78"/>
    <mergeCell ref="E78:F78"/>
    <mergeCell ref="C79:D79"/>
    <mergeCell ref="E79:F79"/>
    <mergeCell ref="A72:B73"/>
    <mergeCell ref="C72:D73"/>
    <mergeCell ref="E72:F73"/>
    <mergeCell ref="A65:B65"/>
    <mergeCell ref="D65:E65"/>
    <mergeCell ref="A66:F66"/>
    <mergeCell ref="A67:F67"/>
    <mergeCell ref="A68:B68"/>
    <mergeCell ref="C68:D68"/>
    <mergeCell ref="E68:F68"/>
    <mergeCell ref="A69:B70"/>
    <mergeCell ref="C69:D70"/>
    <mergeCell ref="E69:F70"/>
    <mergeCell ref="C71:D71"/>
    <mergeCell ref="E71:F71"/>
    <mergeCell ref="A56:F56"/>
    <mergeCell ref="A1:E1"/>
    <mergeCell ref="A2:E2"/>
    <mergeCell ref="A3:E3"/>
    <mergeCell ref="C5:C7"/>
    <mergeCell ref="D5:D7"/>
    <mergeCell ref="E5:E7"/>
    <mergeCell ref="A8:D8"/>
    <mergeCell ref="A33:B33"/>
    <mergeCell ref="A35:D35"/>
    <mergeCell ref="A52:B52"/>
    <mergeCell ref="A54:F54"/>
  </mergeCells>
  <pageMargins left="0.511811024" right="0.511811024" top="0.78740157499999996" bottom="0.78740157499999996" header="0.31496062000000002" footer="0.31496062000000002"/>
  <pageSetup paperSize="9" scale="82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7B24-2E2D-475D-B3C3-144EFC32FAF4}">
  <sheetPr>
    <pageSetUpPr fitToPage="1"/>
  </sheetPr>
  <dimension ref="A1:F101"/>
  <sheetViews>
    <sheetView topLeftCell="A78" workbookViewId="0">
      <selection activeCell="E100" sqref="E100:F100"/>
    </sheetView>
  </sheetViews>
  <sheetFormatPr defaultRowHeight="14.4" x14ac:dyDescent="0.3"/>
  <cols>
    <col min="1" max="1" width="45.109375" customWidth="1"/>
    <col min="2" max="3" width="12" customWidth="1"/>
    <col min="4" max="4" width="14" customWidth="1"/>
    <col min="5" max="5" width="13.109375" customWidth="1"/>
    <col min="6" max="6" width="15.109375" customWidth="1"/>
  </cols>
  <sheetData>
    <row r="1" spans="1:6" ht="24" customHeight="1" x14ac:dyDescent="0.3">
      <c r="A1" s="107" t="s">
        <v>140</v>
      </c>
      <c r="B1" s="108"/>
      <c r="C1" s="108"/>
      <c r="D1" s="108"/>
      <c r="E1" s="109"/>
      <c r="F1" s="1"/>
    </row>
    <row r="2" spans="1:6" ht="25.5" customHeight="1" x14ac:dyDescent="0.3">
      <c r="A2" s="107" t="s">
        <v>141</v>
      </c>
      <c r="B2" s="108"/>
      <c r="C2" s="108"/>
      <c r="D2" s="108"/>
      <c r="E2" s="109"/>
      <c r="F2" s="1"/>
    </row>
    <row r="3" spans="1:6" x14ac:dyDescent="0.3">
      <c r="A3" s="110" t="s">
        <v>23</v>
      </c>
      <c r="B3" s="110"/>
      <c r="C3" s="110"/>
      <c r="D3" s="110"/>
      <c r="E3" s="110"/>
      <c r="F3" s="1"/>
    </row>
    <row r="4" spans="1:6" ht="24" x14ac:dyDescent="0.3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3">
      <c r="A5" s="4" t="s">
        <v>142</v>
      </c>
      <c r="B5" s="6">
        <f>1764</f>
        <v>1764</v>
      </c>
      <c r="C5" s="113">
        <v>1</v>
      </c>
      <c r="D5" s="114">
        <f>SUM(B5:B7)*C5</f>
        <v>2493.1999999999998</v>
      </c>
      <c r="E5" s="114">
        <f>D5*12</f>
        <v>29918.400000000001</v>
      </c>
      <c r="F5" s="1"/>
    </row>
    <row r="6" spans="1:6" x14ac:dyDescent="0.3">
      <c r="A6" s="65" t="s">
        <v>112</v>
      </c>
      <c r="B6" s="63">
        <f>122</f>
        <v>122</v>
      </c>
      <c r="C6" s="113"/>
      <c r="D6" s="114"/>
      <c r="E6" s="114"/>
      <c r="F6" s="1"/>
    </row>
    <row r="7" spans="1:6" x14ac:dyDescent="0.3">
      <c r="A7" s="65" t="s">
        <v>173</v>
      </c>
      <c r="B7" s="63">
        <f>1518*40%</f>
        <v>607.20000000000005</v>
      </c>
      <c r="C7" s="113"/>
      <c r="D7" s="114"/>
      <c r="E7" s="114"/>
      <c r="F7" s="1"/>
    </row>
    <row r="8" spans="1:6" x14ac:dyDescent="0.3">
      <c r="A8" s="111"/>
      <c r="B8" s="112"/>
      <c r="C8" s="112"/>
      <c r="D8" s="112"/>
      <c r="E8" s="53"/>
      <c r="F8" s="1"/>
    </row>
    <row r="9" spans="1:6" x14ac:dyDescent="0.3">
      <c r="A9" s="8" t="s">
        <v>13</v>
      </c>
      <c r="B9" s="15" t="s">
        <v>1</v>
      </c>
      <c r="C9" s="15" t="s">
        <v>12</v>
      </c>
      <c r="D9" s="15" t="s">
        <v>2</v>
      </c>
      <c r="E9" s="40"/>
      <c r="F9" s="1"/>
    </row>
    <row r="10" spans="1:6" x14ac:dyDescent="0.3">
      <c r="A10" s="4" t="s">
        <v>20</v>
      </c>
      <c r="B10" s="5">
        <v>8.3299999999999999E-2</v>
      </c>
      <c r="C10" s="6">
        <f>B10*$D$5</f>
        <v>207.68</v>
      </c>
      <c r="D10" s="6">
        <f>B10*$E$5</f>
        <v>2492.1999999999998</v>
      </c>
      <c r="E10" s="54"/>
      <c r="F10" s="37"/>
    </row>
    <row r="11" spans="1:6" ht="36" x14ac:dyDescent="0.3">
      <c r="A11" s="4" t="s">
        <v>102</v>
      </c>
      <c r="B11" s="5">
        <v>2.7799999999999998E-2</v>
      </c>
      <c r="C11" s="6">
        <f>B11*$D$5</f>
        <v>69.31</v>
      </c>
      <c r="D11" s="6">
        <f>B11*$E$5</f>
        <v>831.73</v>
      </c>
      <c r="E11" s="37"/>
      <c r="F11" s="37"/>
    </row>
    <row r="12" spans="1:6" x14ac:dyDescent="0.3">
      <c r="A12" s="15" t="s">
        <v>14</v>
      </c>
      <c r="B12" s="16">
        <f>SUM(B10:B11)</f>
        <v>0.1111</v>
      </c>
      <c r="C12" s="17">
        <f>SUM(C10:C11)</f>
        <v>276.99</v>
      </c>
      <c r="D12" s="17">
        <f>C12*12</f>
        <v>3323.88</v>
      </c>
      <c r="E12" s="40"/>
      <c r="F12" s="40"/>
    </row>
    <row r="13" spans="1:6" x14ac:dyDescent="0.3">
      <c r="A13" s="52"/>
      <c r="B13" s="52"/>
      <c r="C13" s="52"/>
      <c r="D13" s="55"/>
      <c r="E13" s="53"/>
      <c r="F13" s="53"/>
    </row>
    <row r="14" spans="1:6" x14ac:dyDescent="0.3">
      <c r="A14" s="8" t="s">
        <v>15</v>
      </c>
      <c r="B14" s="15" t="s">
        <v>1</v>
      </c>
      <c r="C14" s="15" t="s">
        <v>12</v>
      </c>
      <c r="D14" s="15" t="s">
        <v>2</v>
      </c>
      <c r="E14" s="37"/>
      <c r="F14" s="37"/>
    </row>
    <row r="15" spans="1:6" x14ac:dyDescent="0.3">
      <c r="A15" s="4" t="s">
        <v>21</v>
      </c>
      <c r="B15" s="5">
        <v>0.2</v>
      </c>
      <c r="C15" s="6">
        <f t="shared" ref="C15:C22" si="0">B15*$D$5</f>
        <v>498.64</v>
      </c>
      <c r="D15" s="6">
        <f t="shared" ref="D15:D22" si="1">B15*$E$5</f>
        <v>5983.68</v>
      </c>
      <c r="E15" s="54"/>
      <c r="F15" s="37"/>
    </row>
    <row r="16" spans="1:6" x14ac:dyDescent="0.3">
      <c r="A16" s="4" t="s">
        <v>57</v>
      </c>
      <c r="B16" s="5">
        <v>2.5000000000000001E-2</v>
      </c>
      <c r="C16" s="6">
        <f t="shared" si="0"/>
        <v>62.33</v>
      </c>
      <c r="D16" s="6">
        <f t="shared" si="1"/>
        <v>747.96</v>
      </c>
      <c r="E16" s="37"/>
      <c r="F16" s="37"/>
    </row>
    <row r="17" spans="1:6" x14ac:dyDescent="0.3">
      <c r="A17" s="4" t="s">
        <v>58</v>
      </c>
      <c r="B17" s="5">
        <v>0.03</v>
      </c>
      <c r="C17" s="6">
        <f t="shared" si="0"/>
        <v>74.8</v>
      </c>
      <c r="D17" s="6">
        <f t="shared" si="1"/>
        <v>897.55</v>
      </c>
      <c r="E17" s="37"/>
      <c r="F17" s="37"/>
    </row>
    <row r="18" spans="1:6" x14ac:dyDescent="0.3">
      <c r="A18" s="4" t="s">
        <v>59</v>
      </c>
      <c r="B18" s="5">
        <v>1.4999999999999999E-2</v>
      </c>
      <c r="C18" s="6">
        <f t="shared" si="0"/>
        <v>37.4</v>
      </c>
      <c r="D18" s="6">
        <f t="shared" si="1"/>
        <v>448.78</v>
      </c>
      <c r="E18" s="37"/>
      <c r="F18" s="37"/>
    </row>
    <row r="19" spans="1:6" x14ac:dyDescent="0.3">
      <c r="A19" s="4" t="s">
        <v>60</v>
      </c>
      <c r="B19" s="5">
        <v>0.01</v>
      </c>
      <c r="C19" s="6">
        <f t="shared" si="0"/>
        <v>24.93</v>
      </c>
      <c r="D19" s="6">
        <f t="shared" si="1"/>
        <v>299.18</v>
      </c>
      <c r="E19" s="37"/>
      <c r="F19" s="37"/>
    </row>
    <row r="20" spans="1:6" x14ac:dyDescent="0.3">
      <c r="A20" s="4" t="s">
        <v>61</v>
      </c>
      <c r="B20" s="5">
        <v>6.0000000000000001E-3</v>
      </c>
      <c r="C20" s="6">
        <f t="shared" si="0"/>
        <v>14.96</v>
      </c>
      <c r="D20" s="6">
        <f t="shared" si="1"/>
        <v>179.51</v>
      </c>
      <c r="E20" s="37"/>
      <c r="F20" s="37"/>
    </row>
    <row r="21" spans="1:6" x14ac:dyDescent="0.3">
      <c r="A21" s="4" t="s">
        <v>62</v>
      </c>
      <c r="B21" s="5">
        <v>2E-3</v>
      </c>
      <c r="C21" s="6">
        <f t="shared" si="0"/>
        <v>4.99</v>
      </c>
      <c r="D21" s="6">
        <f t="shared" si="1"/>
        <v>59.84</v>
      </c>
      <c r="E21" s="37"/>
      <c r="F21" s="37"/>
    </row>
    <row r="22" spans="1:6" x14ac:dyDescent="0.3">
      <c r="A22" s="4" t="s">
        <v>63</v>
      </c>
      <c r="B22" s="5">
        <v>0.08</v>
      </c>
      <c r="C22" s="6">
        <f t="shared" si="0"/>
        <v>199.46</v>
      </c>
      <c r="D22" s="6">
        <f t="shared" si="1"/>
        <v>2393.4699999999998</v>
      </c>
      <c r="E22" s="37"/>
      <c r="F22" s="37"/>
    </row>
    <row r="23" spans="1:6" x14ac:dyDescent="0.3">
      <c r="A23" s="15" t="s">
        <v>16</v>
      </c>
      <c r="B23" s="16">
        <f>SUM(B15:B22)</f>
        <v>0.36799999999999999</v>
      </c>
      <c r="C23" s="17">
        <f>SUM(C15:C22)</f>
        <v>917.51</v>
      </c>
      <c r="D23" s="17">
        <f>C23*12</f>
        <v>11010.12</v>
      </c>
      <c r="E23" s="40"/>
      <c r="F23" s="40"/>
    </row>
    <row r="24" spans="1:6" x14ac:dyDescent="0.3">
      <c r="A24" s="53"/>
      <c r="B24" s="53"/>
      <c r="C24" s="53"/>
      <c r="D24" s="53"/>
      <c r="E24" s="53"/>
      <c r="F24" s="53"/>
    </row>
    <row r="25" spans="1:6" ht="24" x14ac:dyDescent="0.3">
      <c r="A25" s="8" t="s">
        <v>94</v>
      </c>
      <c r="B25" s="15" t="s">
        <v>22</v>
      </c>
      <c r="C25" s="15" t="s">
        <v>12</v>
      </c>
      <c r="D25" s="15" t="s">
        <v>2</v>
      </c>
      <c r="E25" s="41"/>
      <c r="F25" s="1"/>
    </row>
    <row r="26" spans="1:6" ht="24" x14ac:dyDescent="0.3">
      <c r="A26" s="4" t="s">
        <v>93</v>
      </c>
      <c r="B26" s="60">
        <f>(3.8*24*2)-B5*0.06</f>
        <v>76.56</v>
      </c>
      <c r="C26" s="6">
        <f t="shared" ref="C26:C27" si="2">B26*(SUM($C$5:$C$5))</f>
        <v>76.56</v>
      </c>
      <c r="D26" s="6">
        <f>C26*12</f>
        <v>918.72</v>
      </c>
      <c r="E26" s="41"/>
      <c r="F26" s="1"/>
    </row>
    <row r="27" spans="1:6" x14ac:dyDescent="0.3">
      <c r="A27" s="4" t="s">
        <v>17</v>
      </c>
      <c r="B27" s="60">
        <f>805*80%</f>
        <v>644</v>
      </c>
      <c r="C27" s="6">
        <f t="shared" si="2"/>
        <v>644</v>
      </c>
      <c r="D27" s="6">
        <f t="shared" ref="D27:D30" si="3">C27*12</f>
        <v>7728</v>
      </c>
      <c r="E27" s="41"/>
      <c r="F27" s="37"/>
    </row>
    <row r="28" spans="1:6" x14ac:dyDescent="0.3">
      <c r="A28" s="4" t="s">
        <v>18</v>
      </c>
      <c r="B28" s="60">
        <v>87.5</v>
      </c>
      <c r="C28" s="6">
        <v>87.5</v>
      </c>
      <c r="D28" s="6">
        <f t="shared" si="3"/>
        <v>1050</v>
      </c>
      <c r="E28" s="41"/>
      <c r="F28" s="37"/>
    </row>
    <row r="29" spans="1:6" x14ac:dyDescent="0.3">
      <c r="A29" s="4" t="s">
        <v>19</v>
      </c>
      <c r="B29" s="60">
        <v>28</v>
      </c>
      <c r="C29" s="6">
        <v>28</v>
      </c>
      <c r="D29" s="6">
        <f t="shared" si="3"/>
        <v>336</v>
      </c>
      <c r="E29" s="41"/>
      <c r="F29" s="37"/>
    </row>
    <row r="30" spans="1:6" x14ac:dyDescent="0.3">
      <c r="A30" s="61" t="s">
        <v>91</v>
      </c>
      <c r="B30" s="62">
        <v>28</v>
      </c>
      <c r="C30" s="63">
        <v>28</v>
      </c>
      <c r="D30" s="64">
        <f t="shared" si="3"/>
        <v>336</v>
      </c>
      <c r="E30" s="41"/>
      <c r="F30" s="40"/>
    </row>
    <row r="31" spans="1:6" x14ac:dyDescent="0.3">
      <c r="A31" s="65" t="s">
        <v>88</v>
      </c>
      <c r="B31" s="66">
        <f>(805*80%)</f>
        <v>644</v>
      </c>
      <c r="C31" s="69">
        <f>B31/12</f>
        <v>53.667000000000002</v>
      </c>
      <c r="D31" s="63">
        <f>C31*12</f>
        <v>644</v>
      </c>
      <c r="E31" s="41"/>
      <c r="F31" s="40"/>
    </row>
    <row r="32" spans="1:6" x14ac:dyDescent="0.3">
      <c r="A32" s="67" t="s">
        <v>89</v>
      </c>
      <c r="B32" s="68">
        <f>SUM(B26:B31)</f>
        <v>1508.06</v>
      </c>
      <c r="C32" s="68">
        <f>SUM(C26:C31)</f>
        <v>917.73</v>
      </c>
      <c r="D32" s="68">
        <f>C32*12</f>
        <v>11012.76</v>
      </c>
      <c r="E32" s="40"/>
      <c r="F32" s="40"/>
    </row>
    <row r="33" spans="1:6" ht="27" customHeight="1" x14ac:dyDescent="0.3">
      <c r="A33" s="105" t="s">
        <v>4</v>
      </c>
      <c r="B33" s="106"/>
      <c r="C33" s="48">
        <f>D5+C12+C23+C32</f>
        <v>4605.43</v>
      </c>
      <c r="D33" s="48">
        <f>SUM(E5+D12+D23+D32)</f>
        <v>55265.16</v>
      </c>
      <c r="E33" s="40"/>
      <c r="F33" s="40"/>
    </row>
    <row r="34" spans="1:6" x14ac:dyDescent="0.3">
      <c r="A34" s="40"/>
      <c r="B34" s="40"/>
      <c r="C34" s="40"/>
      <c r="D34" s="40"/>
      <c r="E34" s="40"/>
      <c r="F34" s="40"/>
    </row>
    <row r="35" spans="1:6" x14ac:dyDescent="0.3">
      <c r="A35" s="115" t="s">
        <v>31</v>
      </c>
      <c r="B35" s="115"/>
      <c r="C35" s="115"/>
      <c r="D35" s="115"/>
      <c r="E35" s="40"/>
      <c r="F35" s="40"/>
    </row>
    <row r="36" spans="1:6" x14ac:dyDescent="0.3">
      <c r="A36" s="18" t="s">
        <v>30</v>
      </c>
      <c r="B36" s="19" t="s">
        <v>1</v>
      </c>
      <c r="C36" s="19" t="s">
        <v>12</v>
      </c>
      <c r="D36" s="19" t="s">
        <v>2</v>
      </c>
      <c r="E36" s="40"/>
      <c r="F36" s="40"/>
    </row>
    <row r="37" spans="1:6" x14ac:dyDescent="0.3">
      <c r="A37" s="10" t="s">
        <v>24</v>
      </c>
      <c r="B37" s="13">
        <v>4.1999999999999997E-3</v>
      </c>
      <c r="C37" s="11">
        <f t="shared" ref="C37:C42" si="4">B37*$D$5</f>
        <v>10.47</v>
      </c>
      <c r="D37" s="11">
        <f t="shared" ref="D37:D42" si="5">B37*$E$5</f>
        <v>125.66</v>
      </c>
      <c r="E37" s="37"/>
      <c r="F37" s="1"/>
    </row>
    <row r="38" spans="1:6" x14ac:dyDescent="0.3">
      <c r="A38" s="10" t="s">
        <v>25</v>
      </c>
      <c r="B38" s="14">
        <v>3.3E-4</v>
      </c>
      <c r="C38" s="11">
        <f t="shared" si="4"/>
        <v>0.82</v>
      </c>
      <c r="D38" s="11">
        <f t="shared" si="5"/>
        <v>9.8699999999999992</v>
      </c>
      <c r="E38" s="37"/>
      <c r="F38" s="1"/>
    </row>
    <row r="39" spans="1:6" x14ac:dyDescent="0.3">
      <c r="A39" s="10" t="s">
        <v>26</v>
      </c>
      <c r="B39" s="14">
        <v>1.6000000000000001E-4</v>
      </c>
      <c r="C39" s="11">
        <f t="shared" si="4"/>
        <v>0.4</v>
      </c>
      <c r="D39" s="11">
        <f t="shared" si="5"/>
        <v>4.79</v>
      </c>
      <c r="E39" s="37"/>
      <c r="F39" s="1"/>
    </row>
    <row r="40" spans="1:6" x14ac:dyDescent="0.3">
      <c r="A40" s="10" t="s">
        <v>27</v>
      </c>
      <c r="B40" s="13">
        <v>1.9400000000000001E-2</v>
      </c>
      <c r="C40" s="11">
        <f t="shared" si="4"/>
        <v>48.37</v>
      </c>
      <c r="D40" s="11">
        <f t="shared" si="5"/>
        <v>580.41999999999996</v>
      </c>
      <c r="E40" s="37"/>
      <c r="F40" s="1"/>
    </row>
    <row r="41" spans="1:6" x14ac:dyDescent="0.3">
      <c r="A41" s="10" t="s">
        <v>28</v>
      </c>
      <c r="B41" s="13">
        <f>B40*B23</f>
        <v>7.1000000000000004E-3</v>
      </c>
      <c r="C41" s="11">
        <f t="shared" si="4"/>
        <v>17.7</v>
      </c>
      <c r="D41" s="11">
        <f t="shared" si="5"/>
        <v>212.42</v>
      </c>
      <c r="E41" s="37"/>
      <c r="F41" s="1"/>
    </row>
    <row r="42" spans="1:6" x14ac:dyDescent="0.3">
      <c r="A42" s="10" t="s">
        <v>29</v>
      </c>
      <c r="B42" s="14">
        <v>7.6999999999999996E-4</v>
      </c>
      <c r="C42" s="11">
        <f t="shared" si="4"/>
        <v>1.92</v>
      </c>
      <c r="D42" s="11">
        <f t="shared" si="5"/>
        <v>23.04</v>
      </c>
      <c r="E42" s="37"/>
      <c r="F42" s="1"/>
    </row>
    <row r="43" spans="1:6" x14ac:dyDescent="0.3">
      <c r="A43" s="19" t="s">
        <v>38</v>
      </c>
      <c r="B43" s="20">
        <f>SUM(B37:B42)</f>
        <v>3.2000000000000001E-2</v>
      </c>
      <c r="C43" s="21">
        <f>SUM(C37:C42)</f>
        <v>79.680000000000007</v>
      </c>
      <c r="D43" s="21">
        <f>C43*12</f>
        <v>956.16</v>
      </c>
      <c r="E43" s="40"/>
      <c r="F43" s="40"/>
    </row>
    <row r="44" spans="1:6" x14ac:dyDescent="0.3">
      <c r="A44" s="49"/>
      <c r="B44" s="50"/>
      <c r="C44" s="50"/>
      <c r="D44" s="50"/>
      <c r="E44" s="40"/>
      <c r="F44" s="40"/>
    </row>
    <row r="45" spans="1:6" x14ac:dyDescent="0.3">
      <c r="A45" s="18" t="s">
        <v>32</v>
      </c>
      <c r="B45" s="19" t="s">
        <v>1</v>
      </c>
      <c r="C45" s="19" t="s">
        <v>12</v>
      </c>
      <c r="D45" s="19" t="s">
        <v>2</v>
      </c>
      <c r="E45" s="39"/>
      <c r="F45" s="39"/>
    </row>
    <row r="46" spans="1:6" x14ac:dyDescent="0.3">
      <c r="A46" s="10" t="s">
        <v>33</v>
      </c>
      <c r="B46" s="13">
        <v>8.3299999999999999E-2</v>
      </c>
      <c r="C46" s="11">
        <f>B46*$D$5</f>
        <v>207.68</v>
      </c>
      <c r="D46" s="11">
        <f>B46*$E$5</f>
        <v>2492.1999999999998</v>
      </c>
      <c r="E46" s="37"/>
      <c r="F46" s="37"/>
    </row>
    <row r="47" spans="1:6" x14ac:dyDescent="0.3">
      <c r="A47" s="10" t="s">
        <v>34</v>
      </c>
      <c r="B47" s="13">
        <v>8.0000000000000004E-4</v>
      </c>
      <c r="C47" s="11">
        <f>B47*$D$5</f>
        <v>1.99</v>
      </c>
      <c r="D47" s="11">
        <f>B47*$E$5</f>
        <v>23.93</v>
      </c>
      <c r="E47" s="37"/>
      <c r="F47" s="37"/>
    </row>
    <row r="48" spans="1:6" ht="24" x14ac:dyDescent="0.3">
      <c r="A48" s="10" t="s">
        <v>35</v>
      </c>
      <c r="B48" s="13">
        <v>2.9999999999999997E-4</v>
      </c>
      <c r="C48" s="11">
        <f>B48*$D$5</f>
        <v>0.75</v>
      </c>
      <c r="D48" s="11">
        <f>B48*$E$5</f>
        <v>8.98</v>
      </c>
      <c r="E48" s="37"/>
      <c r="F48" s="37"/>
    </row>
    <row r="49" spans="1:6" x14ac:dyDescent="0.3">
      <c r="A49" s="10" t="s">
        <v>36</v>
      </c>
      <c r="B49" s="13">
        <v>1.2999999999999999E-3</v>
      </c>
      <c r="C49" s="11">
        <f>B49*$D$5</f>
        <v>3.24</v>
      </c>
      <c r="D49" s="11">
        <f>B49*$E$5</f>
        <v>38.89</v>
      </c>
      <c r="E49" s="37"/>
      <c r="F49" s="37"/>
    </row>
    <row r="50" spans="1:6" x14ac:dyDescent="0.3">
      <c r="A50" s="10" t="s">
        <v>37</v>
      </c>
      <c r="B50" s="13">
        <v>8.2000000000000007E-3</v>
      </c>
      <c r="C50" s="11">
        <f>B50*$D$5</f>
        <v>20.440000000000001</v>
      </c>
      <c r="D50" s="11">
        <f>B50*$E$5</f>
        <v>245.33</v>
      </c>
      <c r="E50" s="37"/>
      <c r="F50" s="37"/>
    </row>
    <row r="51" spans="1:6" x14ac:dyDescent="0.3">
      <c r="A51" s="19" t="s">
        <v>39</v>
      </c>
      <c r="B51" s="20">
        <f>SUM(B46:B50)</f>
        <v>9.3899999999999997E-2</v>
      </c>
      <c r="C51" s="21">
        <f>SUM(C46:C50)</f>
        <v>234.1</v>
      </c>
      <c r="D51" s="21">
        <f>C51*12</f>
        <v>2809.2</v>
      </c>
      <c r="E51" s="39"/>
      <c r="F51" s="39"/>
    </row>
    <row r="52" spans="1:6" ht="24.75" customHeight="1" x14ac:dyDescent="0.3">
      <c r="A52" s="116" t="s">
        <v>40</v>
      </c>
      <c r="B52" s="117"/>
      <c r="C52" s="46">
        <f>SUM(C43+C51)</f>
        <v>313.77999999999997</v>
      </c>
      <c r="D52" s="47">
        <f>SUM(D43+D51)</f>
        <v>3765.36</v>
      </c>
      <c r="E52" s="39"/>
      <c r="F52" s="39"/>
    </row>
    <row r="53" spans="1:6" x14ac:dyDescent="0.3">
      <c r="A53" s="49"/>
      <c r="B53" s="50"/>
      <c r="C53" s="50"/>
      <c r="D53" s="50"/>
      <c r="E53" s="51"/>
      <c r="F53" s="51"/>
    </row>
    <row r="54" spans="1:6" x14ac:dyDescent="0.3">
      <c r="A54" s="118" t="s">
        <v>115</v>
      </c>
      <c r="B54" s="119"/>
      <c r="C54" s="119"/>
      <c r="D54" s="119"/>
      <c r="E54" s="119"/>
      <c r="F54" s="120"/>
    </row>
    <row r="55" spans="1:6" ht="24" x14ac:dyDescent="0.3">
      <c r="A55" s="22" t="s">
        <v>116</v>
      </c>
      <c r="B55" s="23" t="s">
        <v>90</v>
      </c>
      <c r="C55" s="23" t="s">
        <v>104</v>
      </c>
      <c r="D55" s="23" t="s">
        <v>0</v>
      </c>
      <c r="E55" s="23" t="s">
        <v>12</v>
      </c>
      <c r="F55" s="23" t="s">
        <v>2</v>
      </c>
    </row>
    <row r="56" spans="1:6" x14ac:dyDescent="0.3">
      <c r="A56" s="121" t="s">
        <v>95</v>
      </c>
      <c r="B56" s="122"/>
      <c r="C56" s="122"/>
      <c r="D56" s="122"/>
      <c r="E56" s="122"/>
      <c r="F56" s="123"/>
    </row>
    <row r="57" spans="1:6" x14ac:dyDescent="0.3">
      <c r="A57" s="9" t="s">
        <v>117</v>
      </c>
      <c r="B57" s="2">
        <v>2</v>
      </c>
      <c r="C57" s="45">
        <f>B57*$C$5</f>
        <v>2</v>
      </c>
      <c r="D57" s="58">
        <v>49.1</v>
      </c>
      <c r="E57" s="3">
        <f>D57*C57/12</f>
        <v>8.18</v>
      </c>
      <c r="F57" s="3">
        <f>D57*C57</f>
        <v>98.2</v>
      </c>
    </row>
    <row r="58" spans="1:6" x14ac:dyDescent="0.3">
      <c r="A58" s="9" t="s">
        <v>118</v>
      </c>
      <c r="B58" s="2">
        <v>2</v>
      </c>
      <c r="C58" s="45">
        <f t="shared" ref="C58:C64" si="6">B58*$C$5</f>
        <v>2</v>
      </c>
      <c r="D58" s="58">
        <v>19.899999999999999</v>
      </c>
      <c r="E58" s="3">
        <f>D58*C58/12</f>
        <v>3.32</v>
      </c>
      <c r="F58" s="3">
        <f t="shared" ref="F58:F64" si="7">D58*C58</f>
        <v>39.799999999999997</v>
      </c>
    </row>
    <row r="59" spans="1:6" x14ac:dyDescent="0.3">
      <c r="A59" s="9" t="s">
        <v>119</v>
      </c>
      <c r="B59" s="2">
        <v>2</v>
      </c>
      <c r="C59" s="45">
        <f t="shared" si="6"/>
        <v>2</v>
      </c>
      <c r="D59" s="58">
        <v>65.38</v>
      </c>
      <c r="E59" s="3">
        <f t="shared" ref="E59:E64" si="8">D59*C59/12</f>
        <v>10.9</v>
      </c>
      <c r="F59" s="3">
        <f t="shared" si="7"/>
        <v>130.76</v>
      </c>
    </row>
    <row r="60" spans="1:6" x14ac:dyDescent="0.3">
      <c r="A60" s="9" t="s">
        <v>120</v>
      </c>
      <c r="B60" s="2">
        <v>2</v>
      </c>
      <c r="C60" s="45">
        <f t="shared" si="6"/>
        <v>2</v>
      </c>
      <c r="D60" s="58">
        <v>27.85</v>
      </c>
      <c r="E60" s="3">
        <f t="shared" si="8"/>
        <v>4.6399999999999997</v>
      </c>
      <c r="F60" s="3">
        <f t="shared" si="7"/>
        <v>55.7</v>
      </c>
    </row>
    <row r="61" spans="1:6" x14ac:dyDescent="0.3">
      <c r="A61" s="9" t="s">
        <v>121</v>
      </c>
      <c r="B61" s="2">
        <v>24</v>
      </c>
      <c r="C61" s="45">
        <f t="shared" si="6"/>
        <v>24</v>
      </c>
      <c r="D61" s="58">
        <v>12.9</v>
      </c>
      <c r="E61" s="3">
        <f t="shared" si="8"/>
        <v>25.8</v>
      </c>
      <c r="F61" s="3">
        <f t="shared" si="7"/>
        <v>309.60000000000002</v>
      </c>
    </row>
    <row r="62" spans="1:6" x14ac:dyDescent="0.3">
      <c r="A62" s="9" t="s">
        <v>122</v>
      </c>
      <c r="B62" s="2">
        <v>2</v>
      </c>
      <c r="C62" s="45">
        <f t="shared" si="6"/>
        <v>2</v>
      </c>
      <c r="D62" s="59">
        <v>73</v>
      </c>
      <c r="E62" s="3">
        <f t="shared" si="8"/>
        <v>12.17</v>
      </c>
      <c r="F62" s="3">
        <f t="shared" si="7"/>
        <v>146</v>
      </c>
    </row>
    <row r="63" spans="1:6" x14ac:dyDescent="0.3">
      <c r="A63" s="9" t="s">
        <v>123</v>
      </c>
      <c r="B63" s="2">
        <v>1</v>
      </c>
      <c r="C63" s="45">
        <f t="shared" si="6"/>
        <v>1</v>
      </c>
      <c r="D63" s="58">
        <v>37.9</v>
      </c>
      <c r="E63" s="3">
        <f t="shared" si="8"/>
        <v>3.16</v>
      </c>
      <c r="F63" s="3">
        <f t="shared" si="7"/>
        <v>37.9</v>
      </c>
    </row>
    <row r="64" spans="1:6" x14ac:dyDescent="0.3">
      <c r="A64" s="9" t="s">
        <v>124</v>
      </c>
      <c r="B64" s="2">
        <v>2</v>
      </c>
      <c r="C64" s="45">
        <f t="shared" si="6"/>
        <v>2</v>
      </c>
      <c r="D64" s="58">
        <v>25.02</v>
      </c>
      <c r="E64" s="3">
        <f t="shared" si="8"/>
        <v>4.17</v>
      </c>
      <c r="F64" s="3">
        <f t="shared" si="7"/>
        <v>50.04</v>
      </c>
    </row>
    <row r="65" spans="1:6" x14ac:dyDescent="0.3">
      <c r="A65" s="124" t="s">
        <v>96</v>
      </c>
      <c r="B65" s="124"/>
      <c r="C65" s="57">
        <f>SUM(E57:E64)</f>
        <v>72.34</v>
      </c>
      <c r="D65" s="125" t="s">
        <v>3</v>
      </c>
      <c r="E65" s="125"/>
      <c r="F65" s="56">
        <f>C65*12</f>
        <v>868.08</v>
      </c>
    </row>
    <row r="66" spans="1:6" x14ac:dyDescent="0.3">
      <c r="A66" s="127"/>
      <c r="B66" s="127"/>
      <c r="C66" s="127"/>
      <c r="D66" s="127"/>
      <c r="E66" s="127"/>
      <c r="F66" s="127"/>
    </row>
    <row r="67" spans="1:6" x14ac:dyDescent="0.3">
      <c r="A67" s="159" t="s">
        <v>143</v>
      </c>
      <c r="B67" s="159"/>
      <c r="C67" s="159"/>
      <c r="D67" s="70"/>
      <c r="E67" s="70"/>
      <c r="F67" s="70"/>
    </row>
    <row r="68" spans="1:6" ht="24" x14ac:dyDescent="0.3">
      <c r="A68" s="72" t="s">
        <v>32</v>
      </c>
      <c r="B68" s="71" t="s">
        <v>12</v>
      </c>
      <c r="C68" s="71" t="s">
        <v>2</v>
      </c>
      <c r="D68" s="70"/>
      <c r="E68" s="70"/>
      <c r="F68" s="1"/>
    </row>
    <row r="69" spans="1:6" x14ac:dyDescent="0.3">
      <c r="A69" s="73" t="s">
        <v>144</v>
      </c>
      <c r="B69" s="74">
        <f>B5/220*15*1.5</f>
        <v>180.41</v>
      </c>
      <c r="C69" s="74">
        <f>B69*12</f>
        <v>2164.92</v>
      </c>
      <c r="D69" s="70"/>
      <c r="E69" s="70"/>
      <c r="F69" s="1"/>
    </row>
    <row r="70" spans="1:6" x14ac:dyDescent="0.3">
      <c r="A70" s="75" t="s">
        <v>145</v>
      </c>
      <c r="B70" s="76">
        <f>B69</f>
        <v>180.41</v>
      </c>
      <c r="C70" s="76">
        <f>C69</f>
        <v>2164.92</v>
      </c>
      <c r="D70" s="70"/>
      <c r="E70" s="70"/>
      <c r="F70" s="1"/>
    </row>
    <row r="71" spans="1:6" x14ac:dyDescent="0.3">
      <c r="A71" s="70"/>
      <c r="B71" s="70"/>
      <c r="C71" s="70"/>
      <c r="D71" s="70"/>
      <c r="E71" s="70"/>
      <c r="F71" s="70"/>
    </row>
    <row r="72" spans="1:6" x14ac:dyDescent="0.3">
      <c r="A72" s="126" t="s">
        <v>41</v>
      </c>
      <c r="B72" s="126"/>
      <c r="C72" s="126"/>
      <c r="D72" s="126"/>
      <c r="E72" s="126"/>
      <c r="F72" s="126"/>
    </row>
    <row r="73" spans="1:6" x14ac:dyDescent="0.3">
      <c r="A73" s="128" t="s">
        <v>41</v>
      </c>
      <c r="B73" s="128" t="s">
        <v>43</v>
      </c>
      <c r="C73" s="129" t="s">
        <v>12</v>
      </c>
      <c r="D73" s="129"/>
      <c r="E73" s="129" t="s">
        <v>2</v>
      </c>
      <c r="F73" s="129"/>
    </row>
    <row r="74" spans="1:6" x14ac:dyDescent="0.3">
      <c r="A74" s="130" t="s">
        <v>99</v>
      </c>
      <c r="B74" s="130"/>
      <c r="C74" s="131">
        <f>SUM(C33,C52)</f>
        <v>4919.21</v>
      </c>
      <c r="D74" s="131"/>
      <c r="E74" s="131">
        <f>C74*12</f>
        <v>59030.52</v>
      </c>
      <c r="F74" s="131"/>
    </row>
    <row r="75" spans="1:6" x14ac:dyDescent="0.3">
      <c r="A75" s="130"/>
      <c r="B75" s="130"/>
      <c r="C75" s="131"/>
      <c r="D75" s="131"/>
      <c r="E75" s="131"/>
      <c r="F75" s="131"/>
    </row>
    <row r="76" spans="1:6" x14ac:dyDescent="0.3">
      <c r="A76" s="28" t="s">
        <v>52</v>
      </c>
      <c r="B76" s="35">
        <v>0.03</v>
      </c>
      <c r="C76" s="133">
        <f>C74*B76</f>
        <v>147.58000000000001</v>
      </c>
      <c r="D76" s="133"/>
      <c r="E76" s="133">
        <f>C76*12</f>
        <v>1770.96</v>
      </c>
      <c r="F76" s="133"/>
    </row>
    <row r="77" spans="1:6" x14ac:dyDescent="0.3">
      <c r="A77" s="134" t="s">
        <v>100</v>
      </c>
      <c r="B77" s="134"/>
      <c r="C77" s="131">
        <f>C74+C76</f>
        <v>5066.79</v>
      </c>
      <c r="D77" s="131"/>
      <c r="E77" s="131">
        <f>E74+E76</f>
        <v>60801.48</v>
      </c>
      <c r="F77" s="131"/>
    </row>
    <row r="78" spans="1:6" x14ac:dyDescent="0.3">
      <c r="A78" s="134"/>
      <c r="B78" s="134"/>
      <c r="C78" s="131"/>
      <c r="D78" s="131"/>
      <c r="E78" s="131"/>
      <c r="F78" s="131"/>
    </row>
    <row r="79" spans="1:6" x14ac:dyDescent="0.3">
      <c r="A79" s="28" t="s">
        <v>44</v>
      </c>
      <c r="B79" s="35">
        <v>6.7900000000000002E-2</v>
      </c>
      <c r="C79" s="133">
        <f>C77*B79</f>
        <v>344.04</v>
      </c>
      <c r="D79" s="133"/>
      <c r="E79" s="133">
        <f>C79*12</f>
        <v>4128.4799999999996</v>
      </c>
      <c r="F79" s="133"/>
    </row>
    <row r="80" spans="1:6" x14ac:dyDescent="0.3">
      <c r="A80" s="135" t="s">
        <v>45</v>
      </c>
      <c r="B80" s="135"/>
      <c r="C80" s="135"/>
      <c r="D80" s="135"/>
      <c r="E80" s="29"/>
      <c r="F80" s="30"/>
    </row>
    <row r="81" spans="1:6" x14ac:dyDescent="0.3">
      <c r="A81" s="130" t="s">
        <v>46</v>
      </c>
      <c r="B81" s="130"/>
      <c r="C81" s="136">
        <f>C79+C76+C74</f>
        <v>5410.83</v>
      </c>
      <c r="D81" s="136"/>
      <c r="E81" s="136">
        <f>E79+E76+E74</f>
        <v>64929.96</v>
      </c>
      <c r="F81" s="136"/>
    </row>
    <row r="82" spans="1:6" x14ac:dyDescent="0.3">
      <c r="A82" s="137" t="s">
        <v>47</v>
      </c>
      <c r="B82" s="138"/>
      <c r="C82" s="138"/>
      <c r="D82" s="138"/>
      <c r="E82" s="138"/>
      <c r="F82" s="139"/>
    </row>
    <row r="83" spans="1:6" x14ac:dyDescent="0.3">
      <c r="A83" s="31" t="s">
        <v>48</v>
      </c>
      <c r="B83" s="31"/>
      <c r="C83" s="132" t="s">
        <v>12</v>
      </c>
      <c r="D83" s="132"/>
      <c r="E83" s="132" t="s">
        <v>2</v>
      </c>
      <c r="F83" s="132"/>
    </row>
    <row r="84" spans="1:6" x14ac:dyDescent="0.3">
      <c r="A84" s="32" t="s">
        <v>49</v>
      </c>
      <c r="B84" s="35">
        <v>7.5999999999999998E-2</v>
      </c>
      <c r="C84" s="133">
        <f>($C$81)*B84/(1-($B$87))</f>
        <v>479.56</v>
      </c>
      <c r="D84" s="133"/>
      <c r="E84" s="133">
        <f>C84*12</f>
        <v>5754.72</v>
      </c>
      <c r="F84" s="133"/>
    </row>
    <row r="85" spans="1:6" x14ac:dyDescent="0.3">
      <c r="A85" s="32" t="s">
        <v>50</v>
      </c>
      <c r="B85" s="35">
        <v>1.6500000000000001E-2</v>
      </c>
      <c r="C85" s="133">
        <f t="shared" ref="C85:C86" si="9">($C$81)*B85/(1-($B$87))</f>
        <v>104.12</v>
      </c>
      <c r="D85" s="133"/>
      <c r="E85" s="133">
        <f t="shared" ref="E85:E86" si="10">C85*12</f>
        <v>1249.44</v>
      </c>
      <c r="F85" s="133"/>
    </row>
    <row r="86" spans="1:6" x14ac:dyDescent="0.3">
      <c r="A86" s="32" t="s">
        <v>53</v>
      </c>
      <c r="B86" s="35">
        <v>0.05</v>
      </c>
      <c r="C86" s="133">
        <f t="shared" si="9"/>
        <v>315.5</v>
      </c>
      <c r="D86" s="133"/>
      <c r="E86" s="133">
        <f t="shared" si="10"/>
        <v>3786</v>
      </c>
      <c r="F86" s="133"/>
    </row>
    <row r="87" spans="1:6" x14ac:dyDescent="0.3">
      <c r="A87" s="33" t="s">
        <v>51</v>
      </c>
      <c r="B87" s="34">
        <f>SUM(B84:B86)</f>
        <v>0.14249999999999999</v>
      </c>
      <c r="C87" s="133">
        <f>SUM(C84:D86)</f>
        <v>899.18</v>
      </c>
      <c r="D87" s="133"/>
      <c r="E87" s="144">
        <f>SUM(E84:F86)</f>
        <v>10790.16</v>
      </c>
      <c r="F87" s="145"/>
    </row>
    <row r="88" spans="1:6" x14ac:dyDescent="0.3">
      <c r="A88" s="146" t="s">
        <v>146</v>
      </c>
      <c r="B88" s="146"/>
      <c r="C88" s="140">
        <f>C76+C79+C87</f>
        <v>1390.8</v>
      </c>
      <c r="D88" s="140"/>
      <c r="E88" s="140">
        <f>C88*12</f>
        <v>16689.599999999999</v>
      </c>
      <c r="F88" s="140"/>
    </row>
    <row r="89" spans="1:6" x14ac:dyDescent="0.3">
      <c r="A89" s="141"/>
      <c r="B89" s="142"/>
      <c r="C89" s="142"/>
      <c r="D89" s="142"/>
      <c r="E89" s="142"/>
      <c r="F89" s="143"/>
    </row>
    <row r="90" spans="1:6" x14ac:dyDescent="0.3">
      <c r="A90" s="148" t="s">
        <v>54</v>
      </c>
      <c r="B90" s="151" t="s">
        <v>12</v>
      </c>
      <c r="C90" s="151"/>
      <c r="D90" s="152" t="s">
        <v>3</v>
      </c>
      <c r="E90" s="153"/>
      <c r="F90" s="154"/>
    </row>
    <row r="91" spans="1:6" x14ac:dyDescent="0.3">
      <c r="A91" s="149"/>
      <c r="B91" s="25" t="s">
        <v>5</v>
      </c>
      <c r="C91" s="26">
        <f>C33</f>
        <v>4605.43</v>
      </c>
      <c r="D91" s="25" t="s">
        <v>5</v>
      </c>
      <c r="E91" s="155">
        <f>D33</f>
        <v>55265.16</v>
      </c>
      <c r="F91" s="156"/>
    </row>
    <row r="92" spans="1:6" x14ac:dyDescent="0.3">
      <c r="A92" s="149"/>
      <c r="B92" s="25" t="s">
        <v>6</v>
      </c>
      <c r="C92" s="26">
        <f>C52</f>
        <v>313.77999999999997</v>
      </c>
      <c r="D92" s="25" t="s">
        <v>6</v>
      </c>
      <c r="E92" s="155">
        <f>D52</f>
        <v>3765.36</v>
      </c>
      <c r="F92" s="156"/>
    </row>
    <row r="93" spans="1:6" x14ac:dyDescent="0.3">
      <c r="A93" s="149"/>
      <c r="B93" s="25" t="s">
        <v>7</v>
      </c>
      <c r="C93" s="26">
        <f>C65</f>
        <v>72.34</v>
      </c>
      <c r="D93" s="25" t="s">
        <v>7</v>
      </c>
      <c r="E93" s="155">
        <f>F65</f>
        <v>868.08</v>
      </c>
      <c r="F93" s="156"/>
    </row>
    <row r="94" spans="1:6" x14ac:dyDescent="0.3">
      <c r="A94" s="149"/>
      <c r="B94" s="25" t="s">
        <v>8</v>
      </c>
      <c r="C94" s="26">
        <f>C88</f>
        <v>1390.8</v>
      </c>
      <c r="D94" s="25" t="s">
        <v>8</v>
      </c>
      <c r="E94" s="155">
        <f>E88</f>
        <v>16689.599999999999</v>
      </c>
      <c r="F94" s="156"/>
    </row>
    <row r="95" spans="1:6" x14ac:dyDescent="0.3">
      <c r="A95" s="149"/>
      <c r="B95" s="25" t="s">
        <v>147</v>
      </c>
      <c r="C95" s="26">
        <f>B70</f>
        <v>180.41</v>
      </c>
      <c r="D95" s="25" t="s">
        <v>147</v>
      </c>
      <c r="E95" s="155">
        <f>C70</f>
        <v>2164.92</v>
      </c>
      <c r="F95" s="156"/>
    </row>
    <row r="96" spans="1:6" x14ac:dyDescent="0.3">
      <c r="A96" s="150"/>
      <c r="B96" s="24" t="s">
        <v>12</v>
      </c>
      <c r="C96" s="27">
        <f>SUM(C91:C95)</f>
        <v>6562.76</v>
      </c>
      <c r="D96" s="24" t="s">
        <v>42</v>
      </c>
      <c r="E96" s="157">
        <f>SUM(E91:E95)</f>
        <v>78753.119999999995</v>
      </c>
      <c r="F96" s="158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ht="17.399999999999999" x14ac:dyDescent="0.3">
      <c r="A99" s="102" t="s">
        <v>130</v>
      </c>
      <c r="B99" s="103"/>
      <c r="C99" s="103"/>
      <c r="D99" s="104"/>
      <c r="E99" s="102">
        <v>2</v>
      </c>
      <c r="F99" s="104"/>
    </row>
    <row r="100" spans="1:6" ht="17.399999999999999" x14ac:dyDescent="0.3">
      <c r="A100" s="102" t="s">
        <v>131</v>
      </c>
      <c r="B100" s="103"/>
      <c r="C100" s="103"/>
      <c r="D100" s="104"/>
      <c r="E100" s="101">
        <f>C96*E99</f>
        <v>13125.52</v>
      </c>
      <c r="F100" s="101"/>
    </row>
    <row r="101" spans="1:6" ht="17.399999999999999" x14ac:dyDescent="0.3">
      <c r="A101" s="102" t="s">
        <v>132</v>
      </c>
      <c r="B101" s="103"/>
      <c r="C101" s="103"/>
      <c r="D101" s="104"/>
      <c r="E101" s="101">
        <f>E100*12</f>
        <v>157506.23999999999</v>
      </c>
      <c r="F101" s="101"/>
    </row>
  </sheetData>
  <mergeCells count="64">
    <mergeCell ref="A101:D101"/>
    <mergeCell ref="E101:F101"/>
    <mergeCell ref="A99:D99"/>
    <mergeCell ref="E99:F99"/>
    <mergeCell ref="A100:D100"/>
    <mergeCell ref="E100:F100"/>
    <mergeCell ref="A89:F89"/>
    <mergeCell ref="A90:A96"/>
    <mergeCell ref="B90:C90"/>
    <mergeCell ref="D90:F90"/>
    <mergeCell ref="E91:F91"/>
    <mergeCell ref="E92:F92"/>
    <mergeCell ref="E93:F93"/>
    <mergeCell ref="E94:F94"/>
    <mergeCell ref="E95:F95"/>
    <mergeCell ref="E96:F96"/>
    <mergeCell ref="C86:D86"/>
    <mergeCell ref="E86:F86"/>
    <mergeCell ref="C87:D87"/>
    <mergeCell ref="E87:F87"/>
    <mergeCell ref="A88:B88"/>
    <mergeCell ref="C88:D88"/>
    <mergeCell ref="E88:F88"/>
    <mergeCell ref="C85:D85"/>
    <mergeCell ref="E85:F85"/>
    <mergeCell ref="C79:D79"/>
    <mergeCell ref="E79:F79"/>
    <mergeCell ref="A80:D80"/>
    <mergeCell ref="A81:B81"/>
    <mergeCell ref="C81:D81"/>
    <mergeCell ref="E81:F81"/>
    <mergeCell ref="A82:F82"/>
    <mergeCell ref="C83:D83"/>
    <mergeCell ref="E83:F83"/>
    <mergeCell ref="C84:D84"/>
    <mergeCell ref="E84:F84"/>
    <mergeCell ref="A77:B78"/>
    <mergeCell ref="C77:D78"/>
    <mergeCell ref="E77:F78"/>
    <mergeCell ref="A65:B65"/>
    <mergeCell ref="D65:E65"/>
    <mergeCell ref="A66:F66"/>
    <mergeCell ref="A67:C67"/>
    <mergeCell ref="A72:F72"/>
    <mergeCell ref="A73:B73"/>
    <mergeCell ref="C73:D73"/>
    <mergeCell ref="E73:F73"/>
    <mergeCell ref="A74:B75"/>
    <mergeCell ref="C74:D75"/>
    <mergeCell ref="E74:F75"/>
    <mergeCell ref="C76:D76"/>
    <mergeCell ref="E76:F76"/>
    <mergeCell ref="A56:F56"/>
    <mergeCell ref="A1:E1"/>
    <mergeCell ref="A2:E2"/>
    <mergeCell ref="A3:E3"/>
    <mergeCell ref="C5:C7"/>
    <mergeCell ref="D5:D7"/>
    <mergeCell ref="E5:E7"/>
    <mergeCell ref="A8:D8"/>
    <mergeCell ref="A33:B33"/>
    <mergeCell ref="A35:D35"/>
    <mergeCell ref="A52:B52"/>
    <mergeCell ref="A54:F54"/>
  </mergeCells>
  <pageMargins left="0.511811024" right="0.511811024" top="0.78740157499999996" bottom="0.78740157499999996" header="0.31496062000000002" footer="0.31496062000000002"/>
  <pageSetup paperSize="9" scale="82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AE06-C27F-4E20-BE9F-2F941B7CD2F8}">
  <sheetPr>
    <pageSetUpPr fitToPage="1"/>
  </sheetPr>
  <dimension ref="A1:F103"/>
  <sheetViews>
    <sheetView topLeftCell="A82" workbookViewId="0">
      <selection activeCell="E102" sqref="E102:F102"/>
    </sheetView>
  </sheetViews>
  <sheetFormatPr defaultRowHeight="14.4" x14ac:dyDescent="0.3"/>
  <cols>
    <col min="1" max="1" width="45.109375" customWidth="1"/>
    <col min="2" max="3" width="12" customWidth="1"/>
    <col min="4" max="4" width="14" customWidth="1"/>
    <col min="5" max="5" width="13.109375" customWidth="1"/>
    <col min="6" max="6" width="15.109375" customWidth="1"/>
  </cols>
  <sheetData>
    <row r="1" spans="1:6" ht="23.25" customHeight="1" x14ac:dyDescent="0.3">
      <c r="A1" s="107" t="s">
        <v>148</v>
      </c>
      <c r="B1" s="108"/>
      <c r="C1" s="108"/>
      <c r="D1" s="108"/>
      <c r="E1" s="109"/>
      <c r="F1" s="1"/>
    </row>
    <row r="2" spans="1:6" ht="36" customHeight="1" x14ac:dyDescent="0.3">
      <c r="A2" s="107" t="s">
        <v>149</v>
      </c>
      <c r="B2" s="108"/>
      <c r="C2" s="108"/>
      <c r="D2" s="108"/>
      <c r="E2" s="109"/>
      <c r="F2" s="1"/>
    </row>
    <row r="3" spans="1:6" x14ac:dyDescent="0.3">
      <c r="A3" s="110" t="s">
        <v>23</v>
      </c>
      <c r="B3" s="110"/>
      <c r="C3" s="110"/>
      <c r="D3" s="110"/>
      <c r="E3" s="110"/>
      <c r="F3" s="1"/>
    </row>
    <row r="4" spans="1:6" ht="24" x14ac:dyDescent="0.3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3">
      <c r="A5" s="4" t="s">
        <v>142</v>
      </c>
      <c r="B5" s="6">
        <f>1764</f>
        <v>1764</v>
      </c>
      <c r="C5" s="113">
        <v>1</v>
      </c>
      <c r="D5" s="114">
        <f>SUM(B5:B9)*C5</f>
        <v>2895.31</v>
      </c>
      <c r="E5" s="114">
        <f>D5*12</f>
        <v>34743.72</v>
      </c>
      <c r="F5" s="1"/>
    </row>
    <row r="6" spans="1:6" x14ac:dyDescent="0.3">
      <c r="A6" s="4" t="s">
        <v>112</v>
      </c>
      <c r="B6" s="6">
        <f>122</f>
        <v>122</v>
      </c>
      <c r="C6" s="113"/>
      <c r="D6" s="114"/>
      <c r="E6" s="114"/>
      <c r="F6" s="1"/>
    </row>
    <row r="7" spans="1:6" x14ac:dyDescent="0.3">
      <c r="A7" s="65" t="s">
        <v>173</v>
      </c>
      <c r="B7" s="6">
        <f>1518*40%</f>
        <v>607.20000000000005</v>
      </c>
      <c r="C7" s="113"/>
      <c r="D7" s="114"/>
      <c r="E7" s="114"/>
      <c r="F7" s="1"/>
    </row>
    <row r="8" spans="1:6" x14ac:dyDescent="0.3">
      <c r="A8" s="77" t="s">
        <v>150</v>
      </c>
      <c r="B8" s="6">
        <f>9*((B5/220)*20%)*15</f>
        <v>216.49</v>
      </c>
      <c r="C8" s="113"/>
      <c r="D8" s="114"/>
      <c r="E8" s="114"/>
      <c r="F8" s="1"/>
    </row>
    <row r="9" spans="1:6" x14ac:dyDescent="0.3">
      <c r="A9" s="77" t="s">
        <v>151</v>
      </c>
      <c r="B9" s="6">
        <f>(9*1.1429-9)*(B5/220*1.2)*15</f>
        <v>185.62</v>
      </c>
      <c r="C9" s="113"/>
      <c r="D9" s="114"/>
      <c r="E9" s="114"/>
      <c r="F9" s="1"/>
    </row>
    <row r="10" spans="1:6" x14ac:dyDescent="0.3">
      <c r="A10" s="111"/>
      <c r="B10" s="112"/>
      <c r="C10" s="112"/>
      <c r="D10" s="112"/>
      <c r="E10" s="53"/>
      <c r="F10" s="1"/>
    </row>
    <row r="11" spans="1:6" x14ac:dyDescent="0.3">
      <c r="A11" s="8" t="s">
        <v>13</v>
      </c>
      <c r="B11" s="15" t="s">
        <v>1</v>
      </c>
      <c r="C11" s="15" t="s">
        <v>12</v>
      </c>
      <c r="D11" s="15" t="s">
        <v>2</v>
      </c>
      <c r="E11" s="40"/>
      <c r="F11" s="1"/>
    </row>
    <row r="12" spans="1:6" x14ac:dyDescent="0.3">
      <c r="A12" s="4" t="s">
        <v>20</v>
      </c>
      <c r="B12" s="5">
        <v>8.3299999999999999E-2</v>
      </c>
      <c r="C12" s="6">
        <f>B12*$D$5</f>
        <v>241.18</v>
      </c>
      <c r="D12" s="6">
        <f>B12*$E$5</f>
        <v>2894.15</v>
      </c>
      <c r="E12" s="54"/>
      <c r="F12" s="37"/>
    </row>
    <row r="13" spans="1:6" ht="36" x14ac:dyDescent="0.3">
      <c r="A13" s="4" t="s">
        <v>102</v>
      </c>
      <c r="B13" s="5">
        <v>2.7799999999999998E-2</v>
      </c>
      <c r="C13" s="6">
        <f>B13*$D$5</f>
        <v>80.489999999999995</v>
      </c>
      <c r="D13" s="6">
        <f>B13*$E$5</f>
        <v>965.88</v>
      </c>
      <c r="E13" s="37"/>
      <c r="F13" s="37"/>
    </row>
    <row r="14" spans="1:6" x14ac:dyDescent="0.3">
      <c r="A14" s="15" t="s">
        <v>14</v>
      </c>
      <c r="B14" s="16">
        <f>SUM(B12:B13)</f>
        <v>0.1111</v>
      </c>
      <c r="C14" s="17">
        <f>SUM(C12:C13)</f>
        <v>321.67</v>
      </c>
      <c r="D14" s="17">
        <f>C14*12</f>
        <v>3860.04</v>
      </c>
      <c r="E14" s="40"/>
      <c r="F14" s="40"/>
    </row>
    <row r="15" spans="1:6" x14ac:dyDescent="0.3">
      <c r="A15" s="52"/>
      <c r="B15" s="52"/>
      <c r="C15" s="52"/>
      <c r="D15" s="55"/>
      <c r="E15" s="53"/>
      <c r="F15" s="53"/>
    </row>
    <row r="16" spans="1:6" x14ac:dyDescent="0.3">
      <c r="A16" s="8" t="s">
        <v>15</v>
      </c>
      <c r="B16" s="15" t="s">
        <v>1</v>
      </c>
      <c r="C16" s="15" t="s">
        <v>12</v>
      </c>
      <c r="D16" s="15" t="s">
        <v>2</v>
      </c>
      <c r="E16" s="37"/>
      <c r="F16" s="37"/>
    </row>
    <row r="17" spans="1:6" x14ac:dyDescent="0.3">
      <c r="A17" s="4" t="s">
        <v>21</v>
      </c>
      <c r="B17" s="5">
        <v>0.2</v>
      </c>
      <c r="C17" s="6">
        <f t="shared" ref="C17:C24" si="0">B17*$D$5</f>
        <v>579.05999999999995</v>
      </c>
      <c r="D17" s="6">
        <f t="shared" ref="D17:D24" si="1">B17*$E$5</f>
        <v>6948.74</v>
      </c>
      <c r="E17" s="54"/>
      <c r="F17" s="37"/>
    </row>
    <row r="18" spans="1:6" x14ac:dyDescent="0.3">
      <c r="A18" s="4" t="s">
        <v>57</v>
      </c>
      <c r="B18" s="5">
        <v>2.5000000000000001E-2</v>
      </c>
      <c r="C18" s="6">
        <f t="shared" si="0"/>
        <v>72.38</v>
      </c>
      <c r="D18" s="6">
        <f t="shared" si="1"/>
        <v>868.59</v>
      </c>
      <c r="E18" s="37"/>
      <c r="F18" s="37"/>
    </row>
    <row r="19" spans="1:6" x14ac:dyDescent="0.3">
      <c r="A19" s="4" t="s">
        <v>58</v>
      </c>
      <c r="B19" s="5">
        <v>0.03</v>
      </c>
      <c r="C19" s="6">
        <f t="shared" si="0"/>
        <v>86.86</v>
      </c>
      <c r="D19" s="6">
        <f t="shared" si="1"/>
        <v>1042.31</v>
      </c>
      <c r="E19" s="37"/>
      <c r="F19" s="37"/>
    </row>
    <row r="20" spans="1:6" x14ac:dyDescent="0.3">
      <c r="A20" s="4" t="s">
        <v>59</v>
      </c>
      <c r="B20" s="5">
        <v>1.4999999999999999E-2</v>
      </c>
      <c r="C20" s="6">
        <f t="shared" si="0"/>
        <v>43.43</v>
      </c>
      <c r="D20" s="6">
        <f t="shared" si="1"/>
        <v>521.16</v>
      </c>
      <c r="E20" s="37"/>
      <c r="F20" s="37"/>
    </row>
    <row r="21" spans="1:6" x14ac:dyDescent="0.3">
      <c r="A21" s="4" t="s">
        <v>60</v>
      </c>
      <c r="B21" s="5">
        <v>0.01</v>
      </c>
      <c r="C21" s="6">
        <f t="shared" si="0"/>
        <v>28.95</v>
      </c>
      <c r="D21" s="6">
        <f t="shared" si="1"/>
        <v>347.44</v>
      </c>
      <c r="E21" s="37"/>
      <c r="F21" s="37"/>
    </row>
    <row r="22" spans="1:6" x14ac:dyDescent="0.3">
      <c r="A22" s="4" t="s">
        <v>61</v>
      </c>
      <c r="B22" s="5">
        <v>6.0000000000000001E-3</v>
      </c>
      <c r="C22" s="6">
        <f t="shared" si="0"/>
        <v>17.37</v>
      </c>
      <c r="D22" s="6">
        <f t="shared" si="1"/>
        <v>208.46</v>
      </c>
      <c r="E22" s="37"/>
      <c r="F22" s="37"/>
    </row>
    <row r="23" spans="1:6" x14ac:dyDescent="0.3">
      <c r="A23" s="4" t="s">
        <v>62</v>
      </c>
      <c r="B23" s="5">
        <v>2E-3</v>
      </c>
      <c r="C23" s="6">
        <f t="shared" si="0"/>
        <v>5.79</v>
      </c>
      <c r="D23" s="6">
        <f t="shared" si="1"/>
        <v>69.489999999999995</v>
      </c>
      <c r="E23" s="37"/>
      <c r="F23" s="37"/>
    </row>
    <row r="24" spans="1:6" x14ac:dyDescent="0.3">
      <c r="A24" s="4" t="s">
        <v>63</v>
      </c>
      <c r="B24" s="5">
        <v>0.08</v>
      </c>
      <c r="C24" s="6">
        <f t="shared" si="0"/>
        <v>231.62</v>
      </c>
      <c r="D24" s="6">
        <f t="shared" si="1"/>
        <v>2779.5</v>
      </c>
      <c r="E24" s="37"/>
      <c r="F24" s="37"/>
    </row>
    <row r="25" spans="1:6" x14ac:dyDescent="0.3">
      <c r="A25" s="15" t="s">
        <v>16</v>
      </c>
      <c r="B25" s="16">
        <f>SUM(B17:B24)</f>
        <v>0.36799999999999999</v>
      </c>
      <c r="C25" s="17">
        <f>SUM(C17:C24)</f>
        <v>1065.46</v>
      </c>
      <c r="D25" s="17">
        <f>C25*12</f>
        <v>12785.52</v>
      </c>
      <c r="E25" s="40"/>
      <c r="F25" s="40"/>
    </row>
    <row r="26" spans="1:6" x14ac:dyDescent="0.3">
      <c r="A26" s="53"/>
      <c r="B26" s="53"/>
      <c r="C26" s="53"/>
      <c r="D26" s="53"/>
      <c r="E26" s="53"/>
      <c r="F26" s="53"/>
    </row>
    <row r="27" spans="1:6" ht="24" x14ac:dyDescent="0.3">
      <c r="A27" s="8" t="s">
        <v>94</v>
      </c>
      <c r="B27" s="15" t="s">
        <v>22</v>
      </c>
      <c r="C27" s="15" t="s">
        <v>12</v>
      </c>
      <c r="D27" s="15" t="s">
        <v>2</v>
      </c>
      <c r="E27" s="41"/>
      <c r="F27" s="1"/>
    </row>
    <row r="28" spans="1:6" ht="24" x14ac:dyDescent="0.3">
      <c r="A28" s="4" t="s">
        <v>93</v>
      </c>
      <c r="B28" s="60">
        <f>(3.8*24*2)-B5*0.06</f>
        <v>76.56</v>
      </c>
      <c r="C28" s="6">
        <f t="shared" ref="C28:C29" si="2">B28*(SUM($C$5:$C$5))</f>
        <v>76.56</v>
      </c>
      <c r="D28" s="6">
        <f>C28*12</f>
        <v>918.72</v>
      </c>
      <c r="E28" s="41"/>
      <c r="F28" s="1"/>
    </row>
    <row r="29" spans="1:6" x14ac:dyDescent="0.3">
      <c r="A29" s="4" t="s">
        <v>17</v>
      </c>
      <c r="B29" s="60">
        <f>805*80%</f>
        <v>644</v>
      </c>
      <c r="C29" s="6">
        <f t="shared" si="2"/>
        <v>644</v>
      </c>
      <c r="D29" s="6">
        <f t="shared" ref="D29:D32" si="3">C29*12</f>
        <v>7728</v>
      </c>
      <c r="E29" s="41"/>
      <c r="F29" s="37"/>
    </row>
    <row r="30" spans="1:6" x14ac:dyDescent="0.3">
      <c r="A30" s="4" t="s">
        <v>18</v>
      </c>
      <c r="B30" s="60">
        <v>87.5</v>
      </c>
      <c r="C30" s="6">
        <v>87.5</v>
      </c>
      <c r="D30" s="6">
        <f t="shared" si="3"/>
        <v>1050</v>
      </c>
      <c r="E30" s="41"/>
      <c r="F30" s="37"/>
    </row>
    <row r="31" spans="1:6" x14ac:dyDescent="0.3">
      <c r="A31" s="4" t="s">
        <v>19</v>
      </c>
      <c r="B31" s="60">
        <v>28</v>
      </c>
      <c r="C31" s="6">
        <v>28</v>
      </c>
      <c r="D31" s="6">
        <f t="shared" si="3"/>
        <v>336</v>
      </c>
      <c r="E31" s="41"/>
      <c r="F31" s="37"/>
    </row>
    <row r="32" spans="1:6" x14ac:dyDescent="0.3">
      <c r="A32" s="61" t="s">
        <v>91</v>
      </c>
      <c r="B32" s="62">
        <v>28</v>
      </c>
      <c r="C32" s="63">
        <v>28</v>
      </c>
      <c r="D32" s="64">
        <f t="shared" si="3"/>
        <v>336</v>
      </c>
      <c r="E32" s="41"/>
      <c r="F32" s="40"/>
    </row>
    <row r="33" spans="1:6" x14ac:dyDescent="0.3">
      <c r="A33" s="65" t="s">
        <v>88</v>
      </c>
      <c r="B33" s="66">
        <f>(805*80%)</f>
        <v>644</v>
      </c>
      <c r="C33" s="69">
        <f>B33/12</f>
        <v>53.667000000000002</v>
      </c>
      <c r="D33" s="63">
        <f>C33*12</f>
        <v>644</v>
      </c>
      <c r="E33" s="41"/>
      <c r="F33" s="40"/>
    </row>
    <row r="34" spans="1:6" x14ac:dyDescent="0.3">
      <c r="A34" s="67" t="s">
        <v>89</v>
      </c>
      <c r="B34" s="68">
        <f>SUM(B28:B33)</f>
        <v>1508.06</v>
      </c>
      <c r="C34" s="68">
        <f>SUM(C28:C33)</f>
        <v>917.73</v>
      </c>
      <c r="D34" s="68">
        <f>C34*12</f>
        <v>11012.76</v>
      </c>
      <c r="E34" s="40"/>
      <c r="F34" s="40"/>
    </row>
    <row r="35" spans="1:6" ht="24.75" customHeight="1" x14ac:dyDescent="0.3">
      <c r="A35" s="105" t="s">
        <v>4</v>
      </c>
      <c r="B35" s="106"/>
      <c r="C35" s="48">
        <f>D5+C14+C25+C34</f>
        <v>5200.17</v>
      </c>
      <c r="D35" s="48">
        <f>SUM(E5+D14+D25+D34)</f>
        <v>62402.04</v>
      </c>
      <c r="E35" s="40"/>
      <c r="F35" s="40"/>
    </row>
    <row r="36" spans="1:6" x14ac:dyDescent="0.3">
      <c r="A36" s="40"/>
      <c r="B36" s="40"/>
      <c r="C36" s="40"/>
      <c r="D36" s="40"/>
      <c r="E36" s="40"/>
      <c r="F36" s="40"/>
    </row>
    <row r="37" spans="1:6" x14ac:dyDescent="0.3">
      <c r="A37" s="115" t="s">
        <v>31</v>
      </c>
      <c r="B37" s="115"/>
      <c r="C37" s="115"/>
      <c r="D37" s="115"/>
      <c r="E37" s="40"/>
      <c r="F37" s="40"/>
    </row>
    <row r="38" spans="1:6" x14ac:dyDescent="0.3">
      <c r="A38" s="18" t="s">
        <v>30</v>
      </c>
      <c r="B38" s="19" t="s">
        <v>1</v>
      </c>
      <c r="C38" s="19" t="s">
        <v>12</v>
      </c>
      <c r="D38" s="19" t="s">
        <v>2</v>
      </c>
      <c r="E38" s="40"/>
      <c r="F38" s="40"/>
    </row>
    <row r="39" spans="1:6" x14ac:dyDescent="0.3">
      <c r="A39" s="10" t="s">
        <v>24</v>
      </c>
      <c r="B39" s="13">
        <v>4.1999999999999997E-3</v>
      </c>
      <c r="C39" s="11">
        <f t="shared" ref="C39:C44" si="4">B39*$D$5</f>
        <v>12.16</v>
      </c>
      <c r="D39" s="11">
        <f t="shared" ref="D39:D44" si="5">B39*$E$5</f>
        <v>145.91999999999999</v>
      </c>
      <c r="E39" s="37"/>
      <c r="F39" s="1"/>
    </row>
    <row r="40" spans="1:6" x14ac:dyDescent="0.3">
      <c r="A40" s="10" t="s">
        <v>25</v>
      </c>
      <c r="B40" s="14">
        <v>3.3E-4</v>
      </c>
      <c r="C40" s="11">
        <f t="shared" si="4"/>
        <v>0.96</v>
      </c>
      <c r="D40" s="11">
        <f t="shared" si="5"/>
        <v>11.47</v>
      </c>
      <c r="E40" s="37"/>
      <c r="F40" s="1"/>
    </row>
    <row r="41" spans="1:6" x14ac:dyDescent="0.3">
      <c r="A41" s="10" t="s">
        <v>26</v>
      </c>
      <c r="B41" s="14">
        <v>1.6000000000000001E-4</v>
      </c>
      <c r="C41" s="11">
        <f t="shared" si="4"/>
        <v>0.46</v>
      </c>
      <c r="D41" s="11">
        <f t="shared" si="5"/>
        <v>5.56</v>
      </c>
      <c r="E41" s="37"/>
      <c r="F41" s="1"/>
    </row>
    <row r="42" spans="1:6" x14ac:dyDescent="0.3">
      <c r="A42" s="10" t="s">
        <v>27</v>
      </c>
      <c r="B42" s="13">
        <v>1.9400000000000001E-2</v>
      </c>
      <c r="C42" s="11">
        <f t="shared" si="4"/>
        <v>56.17</v>
      </c>
      <c r="D42" s="11">
        <f t="shared" si="5"/>
        <v>674.03</v>
      </c>
      <c r="E42" s="37"/>
      <c r="F42" s="1"/>
    </row>
    <row r="43" spans="1:6" x14ac:dyDescent="0.3">
      <c r="A43" s="10" t="s">
        <v>28</v>
      </c>
      <c r="B43" s="13">
        <f>B42*B25</f>
        <v>7.1000000000000004E-3</v>
      </c>
      <c r="C43" s="11">
        <f t="shared" si="4"/>
        <v>20.56</v>
      </c>
      <c r="D43" s="11">
        <f t="shared" si="5"/>
        <v>246.68</v>
      </c>
      <c r="E43" s="37"/>
      <c r="F43" s="1"/>
    </row>
    <row r="44" spans="1:6" x14ac:dyDescent="0.3">
      <c r="A44" s="10" t="s">
        <v>29</v>
      </c>
      <c r="B44" s="14">
        <v>7.6999999999999996E-4</v>
      </c>
      <c r="C44" s="11">
        <f t="shared" si="4"/>
        <v>2.23</v>
      </c>
      <c r="D44" s="11">
        <f t="shared" si="5"/>
        <v>26.75</v>
      </c>
      <c r="E44" s="37"/>
      <c r="F44" s="1"/>
    </row>
    <row r="45" spans="1:6" x14ac:dyDescent="0.3">
      <c r="A45" s="19" t="s">
        <v>38</v>
      </c>
      <c r="B45" s="20">
        <f>SUM(B39:B44)</f>
        <v>3.2000000000000001E-2</v>
      </c>
      <c r="C45" s="21">
        <f>SUM(C39:C44)</f>
        <v>92.54</v>
      </c>
      <c r="D45" s="21">
        <f>C45*12</f>
        <v>1110.48</v>
      </c>
      <c r="E45" s="40"/>
      <c r="F45" s="40"/>
    </row>
    <row r="46" spans="1:6" x14ac:dyDescent="0.3">
      <c r="A46" s="49"/>
      <c r="B46" s="50"/>
      <c r="C46" s="50"/>
      <c r="D46" s="50"/>
      <c r="E46" s="40"/>
      <c r="F46" s="40"/>
    </row>
    <row r="47" spans="1:6" x14ac:dyDescent="0.3">
      <c r="A47" s="18" t="s">
        <v>32</v>
      </c>
      <c r="B47" s="19" t="s">
        <v>1</v>
      </c>
      <c r="C47" s="19" t="s">
        <v>12</v>
      </c>
      <c r="D47" s="19" t="s">
        <v>2</v>
      </c>
      <c r="E47" s="39"/>
      <c r="F47" s="39"/>
    </row>
    <row r="48" spans="1:6" x14ac:dyDescent="0.3">
      <c r="A48" s="10" t="s">
        <v>33</v>
      </c>
      <c r="B48" s="13">
        <v>8.3299999999999999E-2</v>
      </c>
      <c r="C48" s="11">
        <f>B48*$D$5</f>
        <v>241.18</v>
      </c>
      <c r="D48" s="11">
        <f>B48*$E$5</f>
        <v>2894.15</v>
      </c>
      <c r="E48" s="37"/>
      <c r="F48" s="37"/>
    </row>
    <row r="49" spans="1:6" x14ac:dyDescent="0.3">
      <c r="A49" s="10" t="s">
        <v>34</v>
      </c>
      <c r="B49" s="13">
        <v>8.0000000000000004E-4</v>
      </c>
      <c r="C49" s="11">
        <f>B49*$D$5</f>
        <v>2.3199999999999998</v>
      </c>
      <c r="D49" s="11">
        <f>B49*$E$5</f>
        <v>27.79</v>
      </c>
      <c r="E49" s="37"/>
      <c r="F49" s="37"/>
    </row>
    <row r="50" spans="1:6" ht="24" x14ac:dyDescent="0.3">
      <c r="A50" s="10" t="s">
        <v>35</v>
      </c>
      <c r="B50" s="13">
        <v>2.9999999999999997E-4</v>
      </c>
      <c r="C50" s="11">
        <f>B50*$D$5</f>
        <v>0.87</v>
      </c>
      <c r="D50" s="11">
        <f>B50*$E$5</f>
        <v>10.42</v>
      </c>
      <c r="E50" s="37"/>
      <c r="F50" s="37"/>
    </row>
    <row r="51" spans="1:6" x14ac:dyDescent="0.3">
      <c r="A51" s="10" t="s">
        <v>36</v>
      </c>
      <c r="B51" s="13">
        <v>1.2999999999999999E-3</v>
      </c>
      <c r="C51" s="11">
        <f>B51*$D$5</f>
        <v>3.76</v>
      </c>
      <c r="D51" s="11">
        <f>B51*$E$5</f>
        <v>45.17</v>
      </c>
      <c r="E51" s="37"/>
      <c r="F51" s="37"/>
    </row>
    <row r="52" spans="1:6" x14ac:dyDescent="0.3">
      <c r="A52" s="10" t="s">
        <v>37</v>
      </c>
      <c r="B52" s="13">
        <v>8.2000000000000007E-3</v>
      </c>
      <c r="C52" s="11">
        <f>B52*$D$5</f>
        <v>23.74</v>
      </c>
      <c r="D52" s="11">
        <f>B52*$E$5</f>
        <v>284.89999999999998</v>
      </c>
      <c r="E52" s="37"/>
      <c r="F52" s="37"/>
    </row>
    <row r="53" spans="1:6" x14ac:dyDescent="0.3">
      <c r="A53" s="19" t="s">
        <v>39</v>
      </c>
      <c r="B53" s="20">
        <f>SUM(B48:B52)</f>
        <v>9.3899999999999997E-2</v>
      </c>
      <c r="C53" s="21">
        <f>SUM(C48:C52)</f>
        <v>271.87</v>
      </c>
      <c r="D53" s="21">
        <f>C53*12</f>
        <v>3262.44</v>
      </c>
      <c r="E53" s="39"/>
      <c r="F53" s="39"/>
    </row>
    <row r="54" spans="1:6" ht="30.75" customHeight="1" x14ac:dyDescent="0.3">
      <c r="A54" s="116" t="s">
        <v>40</v>
      </c>
      <c r="B54" s="117"/>
      <c r="C54" s="46">
        <f>SUM(C45+C53)</f>
        <v>364.41</v>
      </c>
      <c r="D54" s="47">
        <f>SUM(D45+D53)</f>
        <v>4372.92</v>
      </c>
      <c r="E54" s="39"/>
      <c r="F54" s="39"/>
    </row>
    <row r="55" spans="1:6" x14ac:dyDescent="0.3">
      <c r="A55" s="49"/>
      <c r="B55" s="50"/>
      <c r="C55" s="50"/>
      <c r="D55" s="50"/>
      <c r="E55" s="51"/>
      <c r="F55" s="51"/>
    </row>
    <row r="56" spans="1:6" x14ac:dyDescent="0.3">
      <c r="A56" s="118" t="s">
        <v>115</v>
      </c>
      <c r="B56" s="119"/>
      <c r="C56" s="119"/>
      <c r="D56" s="119"/>
      <c r="E56" s="119"/>
      <c r="F56" s="120"/>
    </row>
    <row r="57" spans="1:6" ht="24" x14ac:dyDescent="0.3">
      <c r="A57" s="22" t="s">
        <v>116</v>
      </c>
      <c r="B57" s="23" t="s">
        <v>90</v>
      </c>
      <c r="C57" s="23" t="s">
        <v>104</v>
      </c>
      <c r="D57" s="23" t="s">
        <v>0</v>
      </c>
      <c r="E57" s="23" t="s">
        <v>12</v>
      </c>
      <c r="F57" s="23" t="s">
        <v>2</v>
      </c>
    </row>
    <row r="58" spans="1:6" x14ac:dyDescent="0.3">
      <c r="A58" s="121" t="s">
        <v>95</v>
      </c>
      <c r="B58" s="122"/>
      <c r="C58" s="122"/>
      <c r="D58" s="122"/>
      <c r="E58" s="122"/>
      <c r="F58" s="123"/>
    </row>
    <row r="59" spans="1:6" x14ac:dyDescent="0.3">
      <c r="A59" s="9" t="s">
        <v>117</v>
      </c>
      <c r="B59" s="2">
        <v>2</v>
      </c>
      <c r="C59" s="45">
        <f>B59*$C$5</f>
        <v>2</v>
      </c>
      <c r="D59" s="58">
        <v>49.1</v>
      </c>
      <c r="E59" s="3">
        <f>D59*C59/12</f>
        <v>8.18</v>
      </c>
      <c r="F59" s="3">
        <f>D59*C59</f>
        <v>98.2</v>
      </c>
    </row>
    <row r="60" spans="1:6" x14ac:dyDescent="0.3">
      <c r="A60" s="9" t="s">
        <v>118</v>
      </c>
      <c r="B60" s="2">
        <v>2</v>
      </c>
      <c r="C60" s="45">
        <f t="shared" ref="C60:C66" si="6">B60*$C$5</f>
        <v>2</v>
      </c>
      <c r="D60" s="58">
        <v>19.899999999999999</v>
      </c>
      <c r="E60" s="3">
        <f>D60*C60/12</f>
        <v>3.32</v>
      </c>
      <c r="F60" s="3">
        <f t="shared" ref="F60:F66" si="7">D60*C60</f>
        <v>39.799999999999997</v>
      </c>
    </row>
    <row r="61" spans="1:6" x14ac:dyDescent="0.3">
      <c r="A61" s="9" t="s">
        <v>119</v>
      </c>
      <c r="B61" s="2">
        <v>2</v>
      </c>
      <c r="C61" s="45">
        <f t="shared" si="6"/>
        <v>2</v>
      </c>
      <c r="D61" s="58">
        <v>65.38</v>
      </c>
      <c r="E61" s="3">
        <f t="shared" ref="E61:E66" si="8">D61*C61/12</f>
        <v>10.9</v>
      </c>
      <c r="F61" s="3">
        <f t="shared" si="7"/>
        <v>130.76</v>
      </c>
    </row>
    <row r="62" spans="1:6" x14ac:dyDescent="0.3">
      <c r="A62" s="9" t="s">
        <v>120</v>
      </c>
      <c r="B62" s="2">
        <v>2</v>
      </c>
      <c r="C62" s="45">
        <f t="shared" si="6"/>
        <v>2</v>
      </c>
      <c r="D62" s="58">
        <v>27.85</v>
      </c>
      <c r="E62" s="3">
        <f t="shared" si="8"/>
        <v>4.6399999999999997</v>
      </c>
      <c r="F62" s="3">
        <f t="shared" si="7"/>
        <v>55.7</v>
      </c>
    </row>
    <row r="63" spans="1:6" x14ac:dyDescent="0.3">
      <c r="A63" s="9" t="s">
        <v>121</v>
      </c>
      <c r="B63" s="2">
        <v>24</v>
      </c>
      <c r="C63" s="45">
        <f t="shared" si="6"/>
        <v>24</v>
      </c>
      <c r="D63" s="58">
        <v>12.9</v>
      </c>
      <c r="E63" s="3">
        <f t="shared" si="8"/>
        <v>25.8</v>
      </c>
      <c r="F63" s="3">
        <f t="shared" si="7"/>
        <v>309.60000000000002</v>
      </c>
    </row>
    <row r="64" spans="1:6" x14ac:dyDescent="0.3">
      <c r="A64" s="9" t="s">
        <v>122</v>
      </c>
      <c r="B64" s="2">
        <v>2</v>
      </c>
      <c r="C64" s="45">
        <f t="shared" si="6"/>
        <v>2</v>
      </c>
      <c r="D64" s="59">
        <v>73</v>
      </c>
      <c r="E64" s="3">
        <f t="shared" si="8"/>
        <v>12.17</v>
      </c>
      <c r="F64" s="3">
        <f t="shared" si="7"/>
        <v>146</v>
      </c>
    </row>
    <row r="65" spans="1:6" x14ac:dyDescent="0.3">
      <c r="A65" s="9" t="s">
        <v>123</v>
      </c>
      <c r="B65" s="2">
        <v>1</v>
      </c>
      <c r="C65" s="45">
        <f t="shared" si="6"/>
        <v>1</v>
      </c>
      <c r="D65" s="58">
        <v>37.9</v>
      </c>
      <c r="E65" s="3">
        <f t="shared" si="8"/>
        <v>3.16</v>
      </c>
      <c r="F65" s="3">
        <f t="shared" si="7"/>
        <v>37.9</v>
      </c>
    </row>
    <row r="66" spans="1:6" x14ac:dyDescent="0.3">
      <c r="A66" s="9" t="s">
        <v>124</v>
      </c>
      <c r="B66" s="2">
        <v>2</v>
      </c>
      <c r="C66" s="45">
        <f t="shared" si="6"/>
        <v>2</v>
      </c>
      <c r="D66" s="58">
        <v>25.02</v>
      </c>
      <c r="E66" s="3">
        <f t="shared" si="8"/>
        <v>4.17</v>
      </c>
      <c r="F66" s="3">
        <f t="shared" si="7"/>
        <v>50.04</v>
      </c>
    </row>
    <row r="67" spans="1:6" x14ac:dyDescent="0.3">
      <c r="A67" s="124" t="s">
        <v>96</v>
      </c>
      <c r="B67" s="124"/>
      <c r="C67" s="57">
        <f>SUM(E59:E66)</f>
        <v>72.34</v>
      </c>
      <c r="D67" s="125" t="s">
        <v>3</v>
      </c>
      <c r="E67" s="125"/>
      <c r="F67" s="56">
        <f>C67*12</f>
        <v>868.08</v>
      </c>
    </row>
    <row r="68" spans="1:6" x14ac:dyDescent="0.3">
      <c r="A68" s="127"/>
      <c r="B68" s="127"/>
      <c r="C68" s="127"/>
      <c r="D68" s="127"/>
      <c r="E68" s="127"/>
      <c r="F68" s="127"/>
    </row>
    <row r="69" spans="1:6" x14ac:dyDescent="0.3">
      <c r="A69" s="159" t="s">
        <v>143</v>
      </c>
      <c r="B69" s="159"/>
      <c r="C69" s="159"/>
      <c r="D69" s="70"/>
      <c r="E69" s="70"/>
      <c r="F69" s="70"/>
    </row>
    <row r="70" spans="1:6" ht="24" x14ac:dyDescent="0.3">
      <c r="A70" s="72" t="s">
        <v>32</v>
      </c>
      <c r="B70" s="71" t="s">
        <v>12</v>
      </c>
      <c r="C70" s="71" t="s">
        <v>2</v>
      </c>
      <c r="D70" s="70"/>
      <c r="E70" s="70"/>
      <c r="F70" s="1"/>
    </row>
    <row r="71" spans="1:6" x14ac:dyDescent="0.3">
      <c r="A71" s="73" t="s">
        <v>144</v>
      </c>
      <c r="B71" s="74">
        <v>0</v>
      </c>
      <c r="C71" s="74">
        <f>B71*12</f>
        <v>0</v>
      </c>
      <c r="D71" s="70"/>
      <c r="E71" s="70"/>
      <c r="F71" s="1"/>
    </row>
    <row r="72" spans="1:6" x14ac:dyDescent="0.3">
      <c r="A72" s="75" t="s">
        <v>145</v>
      </c>
      <c r="B72" s="76">
        <f>B71</f>
        <v>0</v>
      </c>
      <c r="C72" s="76">
        <f>C71</f>
        <v>0</v>
      </c>
      <c r="D72" s="70"/>
      <c r="E72" s="70"/>
      <c r="F72" s="1"/>
    </row>
    <row r="73" spans="1:6" x14ac:dyDescent="0.3">
      <c r="A73" s="70"/>
      <c r="B73" s="70"/>
      <c r="C73" s="70"/>
      <c r="D73" s="70"/>
      <c r="E73" s="70"/>
      <c r="F73" s="70"/>
    </row>
    <row r="74" spans="1:6" x14ac:dyDescent="0.3">
      <c r="A74" s="126" t="s">
        <v>41</v>
      </c>
      <c r="B74" s="126"/>
      <c r="C74" s="126"/>
      <c r="D74" s="126"/>
      <c r="E74" s="126"/>
      <c r="F74" s="126"/>
    </row>
    <row r="75" spans="1:6" x14ac:dyDescent="0.3">
      <c r="A75" s="128" t="s">
        <v>41</v>
      </c>
      <c r="B75" s="128" t="s">
        <v>43</v>
      </c>
      <c r="C75" s="129" t="s">
        <v>12</v>
      </c>
      <c r="D75" s="129"/>
      <c r="E75" s="129" t="s">
        <v>2</v>
      </c>
      <c r="F75" s="129"/>
    </row>
    <row r="76" spans="1:6" x14ac:dyDescent="0.3">
      <c r="A76" s="130" t="s">
        <v>99</v>
      </c>
      <c r="B76" s="130"/>
      <c r="C76" s="131">
        <f>SUM(C35,C54)</f>
        <v>5564.58</v>
      </c>
      <c r="D76" s="131"/>
      <c r="E76" s="131">
        <f>C76*12</f>
        <v>66774.960000000006</v>
      </c>
      <c r="F76" s="131"/>
    </row>
    <row r="77" spans="1:6" x14ac:dyDescent="0.3">
      <c r="A77" s="130"/>
      <c r="B77" s="130"/>
      <c r="C77" s="131"/>
      <c r="D77" s="131"/>
      <c r="E77" s="131"/>
      <c r="F77" s="131"/>
    </row>
    <row r="78" spans="1:6" x14ac:dyDescent="0.3">
      <c r="A78" s="28" t="s">
        <v>52</v>
      </c>
      <c r="B78" s="35">
        <v>0.03</v>
      </c>
      <c r="C78" s="133">
        <f>C76*B78</f>
        <v>166.94</v>
      </c>
      <c r="D78" s="133"/>
      <c r="E78" s="133">
        <f>C78*12</f>
        <v>2003.28</v>
      </c>
      <c r="F78" s="133"/>
    </row>
    <row r="79" spans="1:6" x14ac:dyDescent="0.3">
      <c r="A79" s="134" t="s">
        <v>100</v>
      </c>
      <c r="B79" s="134"/>
      <c r="C79" s="131">
        <f>C76+C78</f>
        <v>5731.52</v>
      </c>
      <c r="D79" s="131"/>
      <c r="E79" s="131">
        <f>E76+E78</f>
        <v>68778.240000000005</v>
      </c>
      <c r="F79" s="131"/>
    </row>
    <row r="80" spans="1:6" x14ac:dyDescent="0.3">
      <c r="A80" s="134"/>
      <c r="B80" s="134"/>
      <c r="C80" s="131"/>
      <c r="D80" s="131"/>
      <c r="E80" s="131"/>
      <c r="F80" s="131"/>
    </row>
    <row r="81" spans="1:6" x14ac:dyDescent="0.3">
      <c r="A81" s="28" t="s">
        <v>44</v>
      </c>
      <c r="B81" s="35">
        <v>6.7900000000000002E-2</v>
      </c>
      <c r="C81" s="133">
        <f>C79*B81</f>
        <v>389.17</v>
      </c>
      <c r="D81" s="133"/>
      <c r="E81" s="133">
        <f>C81*12</f>
        <v>4670.04</v>
      </c>
      <c r="F81" s="133"/>
    </row>
    <row r="82" spans="1:6" x14ac:dyDescent="0.3">
      <c r="A82" s="135" t="s">
        <v>45</v>
      </c>
      <c r="B82" s="135"/>
      <c r="C82" s="135"/>
      <c r="D82" s="135"/>
      <c r="E82" s="29"/>
      <c r="F82" s="30"/>
    </row>
    <row r="83" spans="1:6" x14ac:dyDescent="0.3">
      <c r="A83" s="130" t="s">
        <v>46</v>
      </c>
      <c r="B83" s="130"/>
      <c r="C83" s="136">
        <f>C81+C78+C76</f>
        <v>6120.69</v>
      </c>
      <c r="D83" s="136"/>
      <c r="E83" s="136">
        <f>E81+E78+E76</f>
        <v>73448.28</v>
      </c>
      <c r="F83" s="136"/>
    </row>
    <row r="84" spans="1:6" x14ac:dyDescent="0.3">
      <c r="A84" s="137" t="s">
        <v>47</v>
      </c>
      <c r="B84" s="138"/>
      <c r="C84" s="138"/>
      <c r="D84" s="138"/>
      <c r="E84" s="138"/>
      <c r="F84" s="139"/>
    </row>
    <row r="85" spans="1:6" x14ac:dyDescent="0.3">
      <c r="A85" s="31" t="s">
        <v>48</v>
      </c>
      <c r="B85" s="31"/>
      <c r="C85" s="132" t="s">
        <v>12</v>
      </c>
      <c r="D85" s="132"/>
      <c r="E85" s="132" t="s">
        <v>2</v>
      </c>
      <c r="F85" s="132"/>
    </row>
    <row r="86" spans="1:6" x14ac:dyDescent="0.3">
      <c r="A86" s="32" t="s">
        <v>49</v>
      </c>
      <c r="B86" s="35">
        <v>7.5999999999999998E-2</v>
      </c>
      <c r="C86" s="133">
        <f>($C$83)*B86/(1-($B$89))</f>
        <v>542.48</v>
      </c>
      <c r="D86" s="133"/>
      <c r="E86" s="133">
        <f>C86*12</f>
        <v>6509.76</v>
      </c>
      <c r="F86" s="133"/>
    </row>
    <row r="87" spans="1:6" x14ac:dyDescent="0.3">
      <c r="A87" s="32" t="s">
        <v>50</v>
      </c>
      <c r="B87" s="35">
        <v>1.6500000000000001E-2</v>
      </c>
      <c r="C87" s="133">
        <f t="shared" ref="C87:C88" si="9">($C$83)*B87/(1-($B$89))</f>
        <v>117.77</v>
      </c>
      <c r="D87" s="133"/>
      <c r="E87" s="133">
        <f t="shared" ref="E87:E88" si="10">C87*12</f>
        <v>1413.24</v>
      </c>
      <c r="F87" s="133"/>
    </row>
    <row r="88" spans="1:6" x14ac:dyDescent="0.3">
      <c r="A88" s="32" t="s">
        <v>53</v>
      </c>
      <c r="B88" s="35">
        <v>0.05</v>
      </c>
      <c r="C88" s="133">
        <f t="shared" si="9"/>
        <v>356.89</v>
      </c>
      <c r="D88" s="133"/>
      <c r="E88" s="133">
        <f t="shared" si="10"/>
        <v>4282.68</v>
      </c>
      <c r="F88" s="133"/>
    </row>
    <row r="89" spans="1:6" x14ac:dyDescent="0.3">
      <c r="A89" s="33" t="s">
        <v>51</v>
      </c>
      <c r="B89" s="34">
        <f>SUM(B86:B88)</f>
        <v>0.14249999999999999</v>
      </c>
      <c r="C89" s="133">
        <f>SUM(C86:D88)</f>
        <v>1017.14</v>
      </c>
      <c r="D89" s="133"/>
      <c r="E89" s="144">
        <f>SUM(E86:F88)</f>
        <v>12205.68</v>
      </c>
      <c r="F89" s="145"/>
    </row>
    <row r="90" spans="1:6" x14ac:dyDescent="0.3">
      <c r="A90" s="146" t="s">
        <v>146</v>
      </c>
      <c r="B90" s="146"/>
      <c r="C90" s="140">
        <f>C78+C81+C89</f>
        <v>1573.25</v>
      </c>
      <c r="D90" s="140"/>
      <c r="E90" s="140">
        <f>C90*12</f>
        <v>18879</v>
      </c>
      <c r="F90" s="140"/>
    </row>
    <row r="91" spans="1:6" x14ac:dyDescent="0.3">
      <c r="A91" s="141"/>
      <c r="B91" s="142"/>
      <c r="C91" s="142"/>
      <c r="D91" s="142"/>
      <c r="E91" s="142"/>
      <c r="F91" s="143"/>
    </row>
    <row r="92" spans="1:6" x14ac:dyDescent="0.3">
      <c r="A92" s="148" t="s">
        <v>54</v>
      </c>
      <c r="B92" s="151" t="s">
        <v>12</v>
      </c>
      <c r="C92" s="151"/>
      <c r="D92" s="152" t="s">
        <v>3</v>
      </c>
      <c r="E92" s="153"/>
      <c r="F92" s="154"/>
    </row>
    <row r="93" spans="1:6" x14ac:dyDescent="0.3">
      <c r="A93" s="149"/>
      <c r="B93" s="25" t="s">
        <v>5</v>
      </c>
      <c r="C93" s="26">
        <f>C35</f>
        <v>5200.17</v>
      </c>
      <c r="D93" s="25" t="s">
        <v>5</v>
      </c>
      <c r="E93" s="155">
        <f>D35</f>
        <v>62402.04</v>
      </c>
      <c r="F93" s="156"/>
    </row>
    <row r="94" spans="1:6" x14ac:dyDescent="0.3">
      <c r="A94" s="149"/>
      <c r="B94" s="25" t="s">
        <v>6</v>
      </c>
      <c r="C94" s="26">
        <f>C54</f>
        <v>364.41</v>
      </c>
      <c r="D94" s="25" t="s">
        <v>6</v>
      </c>
      <c r="E94" s="155">
        <f>D54</f>
        <v>4372.92</v>
      </c>
      <c r="F94" s="156"/>
    </row>
    <row r="95" spans="1:6" x14ac:dyDescent="0.3">
      <c r="A95" s="149"/>
      <c r="B95" s="25" t="s">
        <v>7</v>
      </c>
      <c r="C95" s="26">
        <f>C67</f>
        <v>72.34</v>
      </c>
      <c r="D95" s="25" t="s">
        <v>7</v>
      </c>
      <c r="E95" s="155">
        <f>F67</f>
        <v>868.08</v>
      </c>
      <c r="F95" s="156"/>
    </row>
    <row r="96" spans="1:6" x14ac:dyDescent="0.3">
      <c r="A96" s="149"/>
      <c r="B96" s="25" t="s">
        <v>8</v>
      </c>
      <c r="C96" s="26">
        <f>C90</f>
        <v>1573.25</v>
      </c>
      <c r="D96" s="25" t="s">
        <v>8</v>
      </c>
      <c r="E96" s="155">
        <f>E90</f>
        <v>18879</v>
      </c>
      <c r="F96" s="156"/>
    </row>
    <row r="97" spans="1:6" x14ac:dyDescent="0.3">
      <c r="A97" s="149"/>
      <c r="B97" s="25" t="s">
        <v>147</v>
      </c>
      <c r="C97" s="26">
        <f>B72</f>
        <v>0</v>
      </c>
      <c r="D97" s="25" t="s">
        <v>147</v>
      </c>
      <c r="E97" s="155">
        <f>C72</f>
        <v>0</v>
      </c>
      <c r="F97" s="156"/>
    </row>
    <row r="98" spans="1:6" x14ac:dyDescent="0.3">
      <c r="A98" s="150"/>
      <c r="B98" s="24" t="s">
        <v>12</v>
      </c>
      <c r="C98" s="27">
        <f>SUM(C93:C97)</f>
        <v>7210.17</v>
      </c>
      <c r="D98" s="24" t="s">
        <v>42</v>
      </c>
      <c r="E98" s="157">
        <f>SUM(E93:E97)</f>
        <v>86522.04</v>
      </c>
      <c r="F98" s="158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ht="17.399999999999999" x14ac:dyDescent="0.3">
      <c r="A101" s="102" t="s">
        <v>130</v>
      </c>
      <c r="B101" s="103"/>
      <c r="C101" s="103"/>
      <c r="D101" s="104"/>
      <c r="E101" s="102">
        <v>2</v>
      </c>
      <c r="F101" s="104"/>
    </row>
    <row r="102" spans="1:6" ht="17.399999999999999" x14ac:dyDescent="0.3">
      <c r="A102" s="102" t="s">
        <v>131</v>
      </c>
      <c r="B102" s="103"/>
      <c r="C102" s="103"/>
      <c r="D102" s="104"/>
      <c r="E102" s="101">
        <f>C98*E101</f>
        <v>14420.34</v>
      </c>
      <c r="F102" s="101"/>
    </row>
    <row r="103" spans="1:6" ht="17.399999999999999" x14ac:dyDescent="0.3">
      <c r="A103" s="102" t="s">
        <v>132</v>
      </c>
      <c r="B103" s="103"/>
      <c r="C103" s="103"/>
      <c r="D103" s="104"/>
      <c r="E103" s="101">
        <f>E102*12</f>
        <v>173044.08</v>
      </c>
      <c r="F103" s="101"/>
    </row>
  </sheetData>
  <mergeCells count="64">
    <mergeCell ref="A103:D103"/>
    <mergeCell ref="E103:F103"/>
    <mergeCell ref="A101:D101"/>
    <mergeCell ref="E101:F101"/>
    <mergeCell ref="A102:D102"/>
    <mergeCell ref="E102:F102"/>
    <mergeCell ref="A91:F91"/>
    <mergeCell ref="A92:A98"/>
    <mergeCell ref="B92:C92"/>
    <mergeCell ref="D92:F92"/>
    <mergeCell ref="E93:F93"/>
    <mergeCell ref="E94:F94"/>
    <mergeCell ref="E95:F95"/>
    <mergeCell ref="E96:F96"/>
    <mergeCell ref="E97:F97"/>
    <mergeCell ref="E98:F98"/>
    <mergeCell ref="C88:D88"/>
    <mergeCell ref="E88:F88"/>
    <mergeCell ref="C89:D89"/>
    <mergeCell ref="E89:F89"/>
    <mergeCell ref="A90:B90"/>
    <mergeCell ref="C90:D90"/>
    <mergeCell ref="E90:F90"/>
    <mergeCell ref="C87:D87"/>
    <mergeCell ref="E87:F87"/>
    <mergeCell ref="C81:D81"/>
    <mergeCell ref="E81:F81"/>
    <mergeCell ref="A82:D82"/>
    <mergeCell ref="A83:B83"/>
    <mergeCell ref="C83:D83"/>
    <mergeCell ref="E83:F83"/>
    <mergeCell ref="A84:F84"/>
    <mergeCell ref="C85:D85"/>
    <mergeCell ref="E85:F85"/>
    <mergeCell ref="C86:D86"/>
    <mergeCell ref="E86:F86"/>
    <mergeCell ref="A79:B80"/>
    <mergeCell ref="C79:D80"/>
    <mergeCell ref="E79:F80"/>
    <mergeCell ref="A67:B67"/>
    <mergeCell ref="D67:E67"/>
    <mergeCell ref="A68:F68"/>
    <mergeCell ref="A69:C69"/>
    <mergeCell ref="A74:F74"/>
    <mergeCell ref="A75:B75"/>
    <mergeCell ref="C75:D75"/>
    <mergeCell ref="E75:F75"/>
    <mergeCell ref="A76:B77"/>
    <mergeCell ref="C76:D77"/>
    <mergeCell ref="E76:F77"/>
    <mergeCell ref="C78:D78"/>
    <mergeCell ref="E78:F78"/>
    <mergeCell ref="A58:F58"/>
    <mergeCell ref="A1:E1"/>
    <mergeCell ref="A2:E2"/>
    <mergeCell ref="A3:E3"/>
    <mergeCell ref="C5:C9"/>
    <mergeCell ref="D5:D9"/>
    <mergeCell ref="E5:E9"/>
    <mergeCell ref="A10:D10"/>
    <mergeCell ref="A35:B35"/>
    <mergeCell ref="A37:D37"/>
    <mergeCell ref="A54:B54"/>
    <mergeCell ref="A56:F56"/>
  </mergeCells>
  <pageMargins left="0.511811024" right="0.511811024" top="0.78740157499999996" bottom="0.78740157499999996" header="0.31496062000000002" footer="0.31496062000000002"/>
  <pageSetup paperSize="9" scale="82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3818-005E-4034-B5DB-12954229DB35}">
  <sheetPr>
    <pageSetUpPr fitToPage="1"/>
  </sheetPr>
  <dimension ref="A1:G61"/>
  <sheetViews>
    <sheetView topLeftCell="A38" workbookViewId="0">
      <selection activeCell="A64" sqref="A64"/>
    </sheetView>
  </sheetViews>
  <sheetFormatPr defaultRowHeight="14.4" x14ac:dyDescent="0.3"/>
  <cols>
    <col min="1" max="1" width="37.6640625" customWidth="1"/>
    <col min="2" max="2" width="12" customWidth="1"/>
    <col min="3" max="3" width="8.109375" customWidth="1"/>
    <col min="4" max="4" width="9.44140625" customWidth="1"/>
    <col min="5" max="5" width="13.109375" customWidth="1"/>
    <col min="6" max="6" width="5.6640625" customWidth="1"/>
    <col min="7" max="7" width="9.44140625" customWidth="1"/>
  </cols>
  <sheetData>
    <row r="1" spans="1:7" ht="12.75" customHeight="1" x14ac:dyDescent="0.3">
      <c r="A1" s="110" t="s">
        <v>101</v>
      </c>
      <c r="B1" s="110"/>
      <c r="C1" s="110"/>
      <c r="D1" s="110"/>
      <c r="E1" s="110"/>
      <c r="F1" s="110"/>
      <c r="G1" s="110"/>
    </row>
    <row r="2" spans="1:7" ht="9.75" customHeight="1" x14ac:dyDescent="0.3">
      <c r="A2" s="110"/>
      <c r="B2" s="110"/>
      <c r="C2" s="110"/>
      <c r="D2" s="110"/>
      <c r="E2" s="110"/>
      <c r="F2" s="110"/>
      <c r="G2" s="110"/>
    </row>
    <row r="3" spans="1:7" x14ac:dyDescent="0.3">
      <c r="A3" s="110" t="s">
        <v>23</v>
      </c>
      <c r="B3" s="110"/>
      <c r="C3" s="110"/>
      <c r="D3" s="110"/>
      <c r="E3" s="110"/>
      <c r="F3" s="110"/>
      <c r="G3" s="110"/>
    </row>
    <row r="4" spans="1:7" ht="19.5" customHeight="1" x14ac:dyDescent="0.3">
      <c r="A4" s="161" t="s">
        <v>11</v>
      </c>
      <c r="B4" s="161"/>
      <c r="C4" s="161"/>
      <c r="D4" s="161"/>
      <c r="E4" s="161"/>
      <c r="F4" s="161"/>
      <c r="G4" s="161"/>
    </row>
    <row r="5" spans="1:7" ht="19.5" customHeight="1" x14ac:dyDescent="0.3">
      <c r="A5" s="4" t="s">
        <v>126</v>
      </c>
      <c r="B5" s="162" t="s">
        <v>125</v>
      </c>
      <c r="C5" s="162"/>
      <c r="D5" s="162"/>
      <c r="E5" s="162"/>
      <c r="F5" s="162"/>
      <c r="G5" s="162"/>
    </row>
    <row r="6" spans="1:7" ht="19.5" customHeight="1" x14ac:dyDescent="0.3">
      <c r="A6" s="4" t="s">
        <v>112</v>
      </c>
      <c r="B6" s="162" t="s">
        <v>125</v>
      </c>
      <c r="C6" s="162"/>
      <c r="D6" s="162"/>
      <c r="E6" s="162"/>
      <c r="F6" s="162"/>
      <c r="G6" s="162"/>
    </row>
    <row r="7" spans="1:7" ht="19.5" customHeight="1" x14ac:dyDescent="0.3">
      <c r="A7" s="65" t="s">
        <v>173</v>
      </c>
      <c r="B7" s="162" t="s">
        <v>174</v>
      </c>
      <c r="C7" s="162"/>
      <c r="D7" s="162"/>
      <c r="E7" s="162"/>
      <c r="F7" s="162"/>
      <c r="G7" s="162"/>
    </row>
    <row r="8" spans="1:7" ht="80.25" customHeight="1" x14ac:dyDescent="0.3">
      <c r="A8" s="77" t="s">
        <v>150</v>
      </c>
      <c r="B8" s="160" t="s">
        <v>152</v>
      </c>
      <c r="C8" s="160"/>
      <c r="D8" s="160"/>
      <c r="E8" s="160"/>
      <c r="F8" s="160"/>
      <c r="G8" s="160"/>
    </row>
    <row r="9" spans="1:7" ht="57.75" customHeight="1" x14ac:dyDescent="0.3">
      <c r="A9" s="77" t="s">
        <v>151</v>
      </c>
      <c r="B9" s="160" t="s">
        <v>153</v>
      </c>
      <c r="C9" s="160"/>
      <c r="D9" s="160"/>
      <c r="E9" s="160"/>
      <c r="F9" s="160"/>
      <c r="G9" s="160"/>
    </row>
    <row r="10" spans="1:7" ht="19.5" customHeight="1" x14ac:dyDescent="0.3">
      <c r="A10" s="163"/>
      <c r="B10" s="163"/>
      <c r="C10" s="163"/>
      <c r="D10" s="163"/>
      <c r="E10" s="163"/>
      <c r="F10" s="164"/>
      <c r="G10" s="1"/>
    </row>
    <row r="11" spans="1:7" ht="19.5" customHeight="1" x14ac:dyDescent="0.3">
      <c r="A11" s="161" t="s">
        <v>13</v>
      </c>
      <c r="B11" s="161"/>
      <c r="C11" s="161"/>
      <c r="D11" s="161"/>
      <c r="E11" s="161"/>
      <c r="F11" s="161"/>
      <c r="G11" s="161"/>
    </row>
    <row r="12" spans="1:7" ht="31.5" customHeight="1" x14ac:dyDescent="0.3">
      <c r="A12" s="4" t="s">
        <v>20</v>
      </c>
      <c r="B12" s="160" t="s">
        <v>55</v>
      </c>
      <c r="C12" s="160"/>
      <c r="D12" s="160"/>
      <c r="E12" s="160"/>
      <c r="F12" s="160"/>
      <c r="G12" s="160"/>
    </row>
    <row r="13" spans="1:7" ht="19.5" customHeight="1" x14ac:dyDescent="0.3">
      <c r="A13" s="4" t="s">
        <v>103</v>
      </c>
      <c r="B13" s="160" t="s">
        <v>56</v>
      </c>
      <c r="C13" s="160"/>
      <c r="D13" s="160"/>
      <c r="E13" s="160"/>
      <c r="F13" s="160"/>
      <c r="G13" s="160"/>
    </row>
    <row r="14" spans="1:7" ht="19.5" customHeight="1" x14ac:dyDescent="0.3">
      <c r="A14" s="163"/>
      <c r="B14" s="163"/>
      <c r="C14" s="163"/>
      <c r="D14" s="163"/>
      <c r="E14" s="163"/>
      <c r="F14" s="164"/>
      <c r="G14" s="1"/>
    </row>
    <row r="15" spans="1:7" ht="19.5" customHeight="1" x14ac:dyDescent="0.3">
      <c r="A15" s="161" t="s">
        <v>15</v>
      </c>
      <c r="B15" s="161"/>
      <c r="C15" s="161"/>
      <c r="D15" s="161"/>
      <c r="E15" s="161"/>
      <c r="F15" s="161"/>
      <c r="G15" s="161"/>
    </row>
    <row r="16" spans="1:7" ht="19.5" customHeight="1" x14ac:dyDescent="0.3">
      <c r="A16" s="4" t="s">
        <v>21</v>
      </c>
      <c r="B16" s="162" t="s">
        <v>64</v>
      </c>
      <c r="C16" s="162"/>
      <c r="D16" s="162"/>
      <c r="E16" s="162"/>
      <c r="F16" s="162"/>
      <c r="G16" s="162"/>
    </row>
    <row r="17" spans="1:7" ht="34.5" customHeight="1" x14ac:dyDescent="0.3">
      <c r="A17" s="4" t="s">
        <v>57</v>
      </c>
      <c r="B17" s="160" t="s">
        <v>65</v>
      </c>
      <c r="C17" s="160"/>
      <c r="D17" s="160"/>
      <c r="E17" s="160"/>
      <c r="F17" s="160"/>
      <c r="G17" s="160"/>
    </row>
    <row r="18" spans="1:7" ht="42" customHeight="1" x14ac:dyDescent="0.3">
      <c r="A18" s="4" t="s">
        <v>58</v>
      </c>
      <c r="B18" s="160" t="s">
        <v>66</v>
      </c>
      <c r="C18" s="160"/>
      <c r="D18" s="160"/>
      <c r="E18" s="160"/>
      <c r="F18" s="160"/>
      <c r="G18" s="160"/>
    </row>
    <row r="19" spans="1:7" ht="19.5" customHeight="1" x14ac:dyDescent="0.3">
      <c r="A19" s="4" t="s">
        <v>59</v>
      </c>
      <c r="B19" s="162" t="s">
        <v>67</v>
      </c>
      <c r="C19" s="162"/>
      <c r="D19" s="162"/>
      <c r="E19" s="162"/>
      <c r="F19" s="162"/>
      <c r="G19" s="162"/>
    </row>
    <row r="20" spans="1:7" ht="19.5" customHeight="1" x14ac:dyDescent="0.3">
      <c r="A20" s="4" t="s">
        <v>60</v>
      </c>
      <c r="B20" s="162" t="s">
        <v>68</v>
      </c>
      <c r="C20" s="162"/>
      <c r="D20" s="162"/>
      <c r="E20" s="162"/>
      <c r="F20" s="162"/>
      <c r="G20" s="162"/>
    </row>
    <row r="21" spans="1:7" ht="19.5" customHeight="1" x14ac:dyDescent="0.3">
      <c r="A21" s="4" t="s">
        <v>61</v>
      </c>
      <c r="B21" s="162" t="s">
        <v>69</v>
      </c>
      <c r="C21" s="162"/>
      <c r="D21" s="162"/>
      <c r="E21" s="162"/>
      <c r="F21" s="162"/>
      <c r="G21" s="162"/>
    </row>
    <row r="22" spans="1:7" ht="19.5" customHeight="1" x14ac:dyDescent="0.3">
      <c r="A22" s="4" t="s">
        <v>62</v>
      </c>
      <c r="B22" s="162" t="s">
        <v>70</v>
      </c>
      <c r="C22" s="162"/>
      <c r="D22" s="162"/>
      <c r="E22" s="162"/>
      <c r="F22" s="162"/>
      <c r="G22" s="162"/>
    </row>
    <row r="23" spans="1:7" ht="26.25" customHeight="1" x14ac:dyDescent="0.3">
      <c r="A23" s="4" t="s">
        <v>63</v>
      </c>
      <c r="B23" s="160" t="s">
        <v>71</v>
      </c>
      <c r="C23" s="160"/>
      <c r="D23" s="160"/>
      <c r="E23" s="160"/>
      <c r="F23" s="160"/>
      <c r="G23" s="160"/>
    </row>
    <row r="24" spans="1:7" ht="19.5" customHeight="1" x14ac:dyDescent="0.3">
      <c r="A24" s="12"/>
      <c r="B24" s="12"/>
      <c r="C24" s="12"/>
      <c r="D24" s="12"/>
      <c r="E24" s="12"/>
      <c r="F24" s="12"/>
      <c r="G24" s="1"/>
    </row>
    <row r="25" spans="1:7" ht="19.5" customHeight="1" x14ac:dyDescent="0.3">
      <c r="A25" s="161" t="s">
        <v>94</v>
      </c>
      <c r="B25" s="161"/>
      <c r="C25" s="161"/>
      <c r="D25" s="161"/>
      <c r="E25" s="161"/>
      <c r="F25" s="161"/>
      <c r="G25" s="161"/>
    </row>
    <row r="26" spans="1:7" ht="63.75" customHeight="1" x14ac:dyDescent="0.3">
      <c r="A26" s="4" t="s">
        <v>93</v>
      </c>
      <c r="B26" s="165" t="s">
        <v>92</v>
      </c>
      <c r="C26" s="165"/>
      <c r="D26" s="165"/>
      <c r="E26" s="165"/>
      <c r="F26" s="165"/>
      <c r="G26" s="165"/>
    </row>
    <row r="27" spans="1:7" ht="19.5" customHeight="1" x14ac:dyDescent="0.3">
      <c r="A27" s="4" t="s">
        <v>17</v>
      </c>
      <c r="B27" s="165" t="s">
        <v>128</v>
      </c>
      <c r="C27" s="165"/>
      <c r="D27" s="165"/>
      <c r="E27" s="165"/>
      <c r="F27" s="165"/>
      <c r="G27" s="165"/>
    </row>
    <row r="28" spans="1:7" ht="19.5" customHeight="1" x14ac:dyDescent="0.3">
      <c r="A28" s="4" t="s">
        <v>18</v>
      </c>
      <c r="B28" s="165" t="s">
        <v>105</v>
      </c>
      <c r="C28" s="165"/>
      <c r="D28" s="165"/>
      <c r="E28" s="165"/>
      <c r="F28" s="165"/>
      <c r="G28" s="165"/>
    </row>
    <row r="29" spans="1:7" ht="19.5" customHeight="1" x14ac:dyDescent="0.3">
      <c r="A29" s="4" t="s">
        <v>19</v>
      </c>
      <c r="B29" s="165" t="s">
        <v>106</v>
      </c>
      <c r="C29" s="165"/>
      <c r="D29" s="165"/>
      <c r="E29" s="165"/>
      <c r="F29" s="165"/>
      <c r="G29" s="165"/>
    </row>
    <row r="30" spans="1:7" ht="19.5" customHeight="1" x14ac:dyDescent="0.3">
      <c r="A30" s="44" t="s">
        <v>91</v>
      </c>
      <c r="B30" s="165" t="s">
        <v>107</v>
      </c>
      <c r="C30" s="165"/>
      <c r="D30" s="165"/>
      <c r="E30" s="165"/>
      <c r="F30" s="165"/>
      <c r="G30" s="165"/>
    </row>
    <row r="31" spans="1:7" ht="19.5" customHeight="1" x14ac:dyDescent="0.3">
      <c r="A31" s="4" t="s">
        <v>88</v>
      </c>
      <c r="B31" s="165" t="s">
        <v>108</v>
      </c>
      <c r="C31" s="165"/>
      <c r="D31" s="165"/>
      <c r="E31" s="165"/>
      <c r="F31" s="165"/>
      <c r="G31" s="165"/>
    </row>
    <row r="32" spans="1:7" ht="19.5" customHeight="1" x14ac:dyDescent="0.3">
      <c r="A32" s="127"/>
      <c r="B32" s="127"/>
      <c r="C32" s="127"/>
      <c r="D32" s="127"/>
      <c r="E32" s="127"/>
      <c r="F32" s="127"/>
      <c r="G32" s="1"/>
    </row>
    <row r="33" spans="1:7" ht="19.5" customHeight="1" x14ac:dyDescent="0.3">
      <c r="A33" s="115" t="s">
        <v>31</v>
      </c>
      <c r="B33" s="115"/>
      <c r="C33" s="115"/>
      <c r="D33" s="115"/>
      <c r="E33" s="115"/>
      <c r="F33" s="115"/>
      <c r="G33" s="115"/>
    </row>
    <row r="34" spans="1:7" ht="19.5" customHeight="1" x14ac:dyDescent="0.3">
      <c r="A34" s="166" t="s">
        <v>30</v>
      </c>
      <c r="B34" s="167"/>
      <c r="C34" s="167"/>
      <c r="D34" s="167"/>
      <c r="E34" s="167"/>
      <c r="F34" s="167"/>
      <c r="G34" s="167"/>
    </row>
    <row r="35" spans="1:7" ht="27.75" customHeight="1" x14ac:dyDescent="0.3">
      <c r="A35" s="10" t="s">
        <v>24</v>
      </c>
      <c r="B35" s="160" t="s">
        <v>72</v>
      </c>
      <c r="C35" s="160"/>
      <c r="D35" s="160"/>
      <c r="E35" s="160"/>
      <c r="F35" s="160"/>
      <c r="G35" s="160"/>
    </row>
    <row r="36" spans="1:7" ht="24" customHeight="1" x14ac:dyDescent="0.3">
      <c r="A36" s="10" t="s">
        <v>25</v>
      </c>
      <c r="B36" s="162" t="s">
        <v>73</v>
      </c>
      <c r="C36" s="162"/>
      <c r="D36" s="162"/>
      <c r="E36" s="162"/>
      <c r="F36" s="162"/>
      <c r="G36" s="162"/>
    </row>
    <row r="37" spans="1:7" ht="19.5" customHeight="1" x14ac:dyDescent="0.3">
      <c r="A37" s="10" t="s">
        <v>26</v>
      </c>
      <c r="B37" s="162" t="s">
        <v>74</v>
      </c>
      <c r="C37" s="162"/>
      <c r="D37" s="162"/>
      <c r="E37" s="162"/>
      <c r="F37" s="162"/>
      <c r="G37" s="162"/>
    </row>
    <row r="38" spans="1:7" ht="19.5" customHeight="1" x14ac:dyDescent="0.3">
      <c r="A38" s="10" t="s">
        <v>27</v>
      </c>
      <c r="B38" s="162" t="s">
        <v>75</v>
      </c>
      <c r="C38" s="162"/>
      <c r="D38" s="162"/>
      <c r="E38" s="162"/>
      <c r="F38" s="162"/>
      <c r="G38" s="162"/>
    </row>
    <row r="39" spans="1:7" ht="25.5" customHeight="1" x14ac:dyDescent="0.3">
      <c r="A39" s="10" t="s">
        <v>28</v>
      </c>
      <c r="B39" s="162" t="s">
        <v>76</v>
      </c>
      <c r="C39" s="162"/>
      <c r="D39" s="162"/>
      <c r="E39" s="162"/>
      <c r="F39" s="162"/>
      <c r="G39" s="162"/>
    </row>
    <row r="40" spans="1:7" ht="32.25" customHeight="1" x14ac:dyDescent="0.3">
      <c r="A40" s="10" t="s">
        <v>29</v>
      </c>
      <c r="B40" s="160" t="s">
        <v>77</v>
      </c>
      <c r="C40" s="160"/>
      <c r="D40" s="160"/>
      <c r="E40" s="160"/>
      <c r="F40" s="160"/>
      <c r="G40" s="160"/>
    </row>
    <row r="41" spans="1:7" ht="19.5" customHeight="1" x14ac:dyDescent="0.3">
      <c r="A41" s="169"/>
      <c r="B41" s="170"/>
      <c r="C41" s="170"/>
      <c r="D41" s="170"/>
      <c r="E41" s="127"/>
      <c r="F41" s="127"/>
      <c r="G41" s="12"/>
    </row>
    <row r="42" spans="1:7" ht="19.5" customHeight="1" x14ac:dyDescent="0.3">
      <c r="A42" s="171" t="s">
        <v>32</v>
      </c>
      <c r="B42" s="171"/>
      <c r="C42" s="171"/>
      <c r="D42" s="171"/>
      <c r="E42" s="171"/>
      <c r="F42" s="171"/>
      <c r="G42" s="171"/>
    </row>
    <row r="43" spans="1:7" ht="19.5" customHeight="1" x14ac:dyDescent="0.3">
      <c r="A43" s="10" t="s">
        <v>33</v>
      </c>
      <c r="B43" s="162" t="s">
        <v>78</v>
      </c>
      <c r="C43" s="162"/>
      <c r="D43" s="162"/>
      <c r="E43" s="162"/>
      <c r="F43" s="162"/>
      <c r="G43" s="162"/>
    </row>
    <row r="44" spans="1:7" ht="22.5" customHeight="1" x14ac:dyDescent="0.3">
      <c r="A44" s="10" t="s">
        <v>34</v>
      </c>
      <c r="B44" s="162" t="s">
        <v>79</v>
      </c>
      <c r="C44" s="162"/>
      <c r="D44" s="162"/>
      <c r="E44" s="162"/>
      <c r="F44" s="162"/>
      <c r="G44" s="162"/>
    </row>
    <row r="45" spans="1:7" ht="24" customHeight="1" x14ac:dyDescent="0.3">
      <c r="A45" s="10" t="s">
        <v>35</v>
      </c>
      <c r="B45" s="162" t="s">
        <v>80</v>
      </c>
      <c r="C45" s="162"/>
      <c r="D45" s="162"/>
      <c r="E45" s="162"/>
      <c r="F45" s="162"/>
      <c r="G45" s="162"/>
    </row>
    <row r="46" spans="1:7" ht="24" customHeight="1" x14ac:dyDescent="0.3">
      <c r="A46" s="10" t="s">
        <v>36</v>
      </c>
      <c r="B46" s="162" t="s">
        <v>79</v>
      </c>
      <c r="C46" s="162"/>
      <c r="D46" s="162"/>
      <c r="E46" s="162"/>
      <c r="F46" s="162"/>
      <c r="G46" s="162"/>
    </row>
    <row r="47" spans="1:7" ht="19.5" customHeight="1" x14ac:dyDescent="0.3">
      <c r="A47" s="10" t="s">
        <v>37</v>
      </c>
      <c r="B47" s="162" t="s">
        <v>81</v>
      </c>
      <c r="C47" s="162"/>
      <c r="D47" s="162"/>
      <c r="E47" s="162"/>
      <c r="F47" s="162"/>
      <c r="G47" s="162"/>
    </row>
    <row r="48" spans="1:7" ht="13.5" customHeight="1" x14ac:dyDescent="0.3">
      <c r="A48" s="172"/>
      <c r="B48" s="127"/>
      <c r="C48" s="127"/>
      <c r="D48" s="127"/>
      <c r="E48" s="127"/>
      <c r="F48" s="127"/>
      <c r="G48" s="1"/>
    </row>
    <row r="49" spans="1:7" ht="19.5" customHeight="1" x14ac:dyDescent="0.3">
      <c r="A49" s="173" t="s">
        <v>127</v>
      </c>
      <c r="B49" s="173"/>
      <c r="C49" s="173"/>
      <c r="D49" s="173"/>
      <c r="E49" s="173"/>
      <c r="F49" s="173"/>
      <c r="G49" s="173"/>
    </row>
    <row r="50" spans="1:7" ht="19.5" customHeight="1" x14ac:dyDescent="0.3">
      <c r="A50" s="168" t="s">
        <v>109</v>
      </c>
      <c r="B50" s="168"/>
      <c r="C50" s="168"/>
      <c r="D50" s="168"/>
      <c r="E50" s="168"/>
      <c r="F50" s="168"/>
      <c r="G50" s="168"/>
    </row>
    <row r="51" spans="1:7" ht="7.5" customHeight="1" x14ac:dyDescent="0.3">
      <c r="A51" s="127"/>
      <c r="B51" s="127"/>
      <c r="C51" s="127"/>
      <c r="D51" s="127"/>
      <c r="E51" s="127"/>
      <c r="F51" s="127"/>
      <c r="G51" s="1"/>
    </row>
    <row r="52" spans="1:7" ht="19.5" customHeight="1" x14ac:dyDescent="0.3">
      <c r="A52" s="159" t="s">
        <v>175</v>
      </c>
      <c r="B52" s="159"/>
      <c r="C52" s="159"/>
      <c r="D52" s="159"/>
      <c r="E52" s="159"/>
      <c r="F52" s="159"/>
      <c r="G52" s="159"/>
    </row>
    <row r="53" spans="1:7" ht="46.5" customHeight="1" x14ac:dyDescent="0.3">
      <c r="A53" s="168" t="s">
        <v>154</v>
      </c>
      <c r="B53" s="168"/>
      <c r="C53" s="168"/>
      <c r="D53" s="168"/>
      <c r="E53" s="168"/>
      <c r="F53" s="168"/>
      <c r="G53" s="168"/>
    </row>
    <row r="54" spans="1:7" ht="11.25" customHeight="1" x14ac:dyDescent="0.3">
      <c r="A54" s="70"/>
      <c r="B54" s="70"/>
      <c r="C54" s="70"/>
      <c r="D54" s="70"/>
      <c r="E54" s="70"/>
      <c r="F54" s="70"/>
      <c r="G54" s="1"/>
    </row>
    <row r="55" spans="1:7" x14ac:dyDescent="0.3">
      <c r="A55" s="126" t="s">
        <v>176</v>
      </c>
      <c r="B55" s="126"/>
      <c r="C55" s="126"/>
      <c r="D55" s="126"/>
      <c r="E55" s="126"/>
      <c r="F55" s="126"/>
      <c r="G55" s="126"/>
    </row>
    <row r="56" spans="1:7" ht="45.75" customHeight="1" x14ac:dyDescent="0.3">
      <c r="A56" s="28" t="s">
        <v>52</v>
      </c>
      <c r="B56" s="160" t="s">
        <v>87</v>
      </c>
      <c r="C56" s="160"/>
      <c r="D56" s="160"/>
      <c r="E56" s="160"/>
      <c r="F56" s="160"/>
      <c r="G56" s="160"/>
    </row>
    <row r="57" spans="1:7" x14ac:dyDescent="0.3">
      <c r="A57" s="28" t="s">
        <v>44</v>
      </c>
      <c r="B57" s="162" t="s">
        <v>82</v>
      </c>
      <c r="C57" s="162"/>
      <c r="D57" s="162"/>
      <c r="E57" s="162"/>
      <c r="F57" s="162"/>
      <c r="G57" s="162"/>
    </row>
    <row r="58" spans="1:7" x14ac:dyDescent="0.3">
      <c r="A58" s="31" t="s">
        <v>48</v>
      </c>
      <c r="B58" s="162" t="s">
        <v>83</v>
      </c>
      <c r="C58" s="162"/>
      <c r="D58" s="162"/>
      <c r="E58" s="162"/>
      <c r="F58" s="162"/>
      <c r="G58" s="162"/>
    </row>
    <row r="59" spans="1:7" x14ac:dyDescent="0.3">
      <c r="A59" s="32" t="s">
        <v>49</v>
      </c>
      <c r="B59" s="162" t="s">
        <v>84</v>
      </c>
      <c r="C59" s="162"/>
      <c r="D59" s="162"/>
      <c r="E59" s="162"/>
      <c r="F59" s="162"/>
      <c r="G59" s="162"/>
    </row>
    <row r="60" spans="1:7" x14ac:dyDescent="0.3">
      <c r="A60" s="32" t="s">
        <v>50</v>
      </c>
      <c r="B60" s="162" t="s">
        <v>85</v>
      </c>
      <c r="C60" s="162"/>
      <c r="D60" s="162"/>
      <c r="E60" s="162"/>
      <c r="F60" s="162"/>
      <c r="G60" s="162"/>
    </row>
    <row r="61" spans="1:7" x14ac:dyDescent="0.3">
      <c r="A61" s="32" t="s">
        <v>53</v>
      </c>
      <c r="B61" s="162" t="s">
        <v>86</v>
      </c>
      <c r="C61" s="162"/>
      <c r="D61" s="162"/>
      <c r="E61" s="162"/>
      <c r="F61" s="162"/>
      <c r="G61" s="162"/>
    </row>
  </sheetData>
  <mergeCells count="58">
    <mergeCell ref="B58:G58"/>
    <mergeCell ref="B59:G59"/>
    <mergeCell ref="B60:G60"/>
    <mergeCell ref="B61:G61"/>
    <mergeCell ref="A51:F51"/>
    <mergeCell ref="A52:G52"/>
    <mergeCell ref="A53:G53"/>
    <mergeCell ref="A55:G55"/>
    <mergeCell ref="B56:G56"/>
    <mergeCell ref="B57:G57"/>
    <mergeCell ref="A50:G50"/>
    <mergeCell ref="B39:G39"/>
    <mergeCell ref="B40:G40"/>
    <mergeCell ref="A41:F41"/>
    <mergeCell ref="A42:G42"/>
    <mergeCell ref="B43:G43"/>
    <mergeCell ref="B44:G44"/>
    <mergeCell ref="B45:G45"/>
    <mergeCell ref="B46:G46"/>
    <mergeCell ref="B47:G47"/>
    <mergeCell ref="A48:F48"/>
    <mergeCell ref="A49:G49"/>
    <mergeCell ref="B38:G38"/>
    <mergeCell ref="B27:G27"/>
    <mergeCell ref="B28:G28"/>
    <mergeCell ref="B29:G29"/>
    <mergeCell ref="B30:G30"/>
    <mergeCell ref="B31:G31"/>
    <mergeCell ref="A32:F32"/>
    <mergeCell ref="A33:G33"/>
    <mergeCell ref="A34:G34"/>
    <mergeCell ref="B35:G35"/>
    <mergeCell ref="B36:G36"/>
    <mergeCell ref="B37:G37"/>
    <mergeCell ref="B26:G26"/>
    <mergeCell ref="A14:F14"/>
    <mergeCell ref="A15:G15"/>
    <mergeCell ref="B16:G16"/>
    <mergeCell ref="B17:G17"/>
    <mergeCell ref="B18:G18"/>
    <mergeCell ref="B19:G19"/>
    <mergeCell ref="B20:G20"/>
    <mergeCell ref="B21:G21"/>
    <mergeCell ref="B22:G22"/>
    <mergeCell ref="B23:G23"/>
    <mergeCell ref="A25:G25"/>
    <mergeCell ref="B13:G13"/>
    <mergeCell ref="A1:G2"/>
    <mergeCell ref="A3:G3"/>
    <mergeCell ref="A4:G4"/>
    <mergeCell ref="B5:G5"/>
    <mergeCell ref="B6:G6"/>
    <mergeCell ref="B7:G7"/>
    <mergeCell ref="B8:G8"/>
    <mergeCell ref="B9:G9"/>
    <mergeCell ref="A10:F10"/>
    <mergeCell ref="A11:G11"/>
    <mergeCell ref="B12:G12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P H 7 Z U K K 3 K v S n A A A A + A A A A B I A H A B D b 2 5 m a W c v U G F j a 2 F n Z S 5 4 b W w g o h g A K K A U A A A A A A A A A A A A A A A A A A A A A A A A A A A A h Y / B C o I w H I d f R X Z 3 m 5 N K 5 O + E u i Z E Q X Q d u n S k U 9 x s v l u H H q l X S C i r W 8 f f x 3 f 4 f o / b H d K x q b 2 r 7 I 1 q d Y I C T J E n d d 4 W S p c J G u z Z j 1 D K Y S f y i y i l N 8 n a x K M p E l R Z 2 8 W E O O e w C 3 H b l 4 R R G p B T t j 3 k l W w E + s j q v + w r b a z Q u U Q c j q 8 Y z n A U 4 E U U B n i 1 Z E B m D J n S X 4 V N x Z g C + Y G w G W o 7 9 J J 3 1 l / v g c w T y P s F f w J Q S w M E F A A C A A g A P H 7 Z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x + 2 V A o i k e 4 D g A A A B E A A A A T A B w A R m 9 y b X V s Y X M v U 2 V j d G l v b j E u b S C i G A A o o B Q A A A A A A A A A A A A A A A A A A A A A A A A A A A A r T k 0 u y c z P U w i G 0 I b W A F B L A Q I t A B Q A A g A I A D x + 2 V C i t y r 0 p w A A A P g A A A A S A A A A A A A A A A A A A A A A A A A A A A B D b 2 5 m a W c v U G F j a 2 F n Z S 5 4 b W x Q S w E C L Q A U A A I A C A A 8 f t l Q D 8 r p q 6 Q A A A D p A A A A E w A A A A A A A A A A A A A A A A D z A A A A W 0 N v b n R l b n R f V H l w Z X N d L n h t b F B L A Q I t A B Q A A g A I A D x + 2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o e h H e v w P L S J R K g 5 S P i u 2 X A A A A A A I A A A A A A B B m A A A A A Q A A I A A A A O z N j E N w 5 1 s t 4 b g e J l c g J G F e T Y 1 c P 8 w I e c A j b a Y C a M G c A A A A A A 6 A A A A A A g A A I A A A A F 7 f G T q j U K U U z p L s W + E J K U w C n A o Y k R h 4 q x F g F 7 x J c T u F U A A A A D 0 U k d T o V z 1 D 2 9 t m 6 b E 6 4 9 P x S h H I w u N s E a O S R k n 9 l h M B y r b K D y l i j I 0 u x K y r v q a x E l O G M Y 4 R Y z A a j 4 2 T j N j Z + J a B j P E B 8 s a C o f 5 J A e o h 8 z J U Q A A A A B / 9 8 I N E Z 2 W L r 6 n l s S 3 K s T n B 1 A 6 u H w 1 6 y S 4 b W N n v R 6 5 j 8 q G o C g h N d 4 T y U W u 0 J O 5 3 v n I u e 5 + n O T O E 9 q g J F I n q b I 4 = < / D a t a M a s h u p > 
</file>

<file path=customXml/itemProps1.xml><?xml version="1.0" encoding="utf-8"?>
<ds:datastoreItem xmlns:ds="http://schemas.openxmlformats.org/officeDocument/2006/customXml" ds:itemID="{EE3BFEDA-751E-46BB-950D-E216A59673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MAPA COMPARATIVO</vt:lpstr>
      <vt:lpstr>ITEM 01 - SERVENTE COPEIRA 40H</vt:lpstr>
      <vt:lpstr>ITEM 02 - SERVENTE COPEIRA 20H</vt:lpstr>
      <vt:lpstr>ITEM 03 - SERVENTE 40H</vt:lpstr>
      <vt:lpstr>ITEM 04 - SERVENTE 20H</vt:lpstr>
      <vt:lpstr>5-SERVENTE COPEIRA 12X36 DIA</vt:lpstr>
      <vt:lpstr>6-SERVENTE COPEIRA 12X36 NOITE</vt:lpstr>
      <vt:lpstr>EMBASAMENTO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helder</dc:creator>
  <cp:lastModifiedBy>licitacao1</cp:lastModifiedBy>
  <cp:lastPrinted>2025-03-17T19:38:20Z</cp:lastPrinted>
  <dcterms:created xsi:type="dcterms:W3CDTF">2020-06-25T15:41:18Z</dcterms:created>
  <dcterms:modified xsi:type="dcterms:W3CDTF">2025-04-04T17:47:18Z</dcterms:modified>
</cp:coreProperties>
</file>